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ONES WEB EIM\Superv Santa Maria de Huachipa\"/>
    </mc:Choice>
  </mc:AlternateContent>
  <bookViews>
    <workbookView xWindow="0" yWindow="0" windowWidth="10128" windowHeight="3936" tabRatio="893"/>
  </bookViews>
  <sheets>
    <sheet name="PTO TARIFA HUACHIPA" sheetId="130" r:id="rId1"/>
    <sheet name="Ppto covid OBRA" sheetId="137" r:id="rId2"/>
    <sheet name="Ppto covid PRUEBAS" sheetId="138" r:id="rId3"/>
    <sheet name="Ppto covid RECEPCION" sheetId="141" r:id="rId4"/>
    <sheet name="Ppto covid LIQUIDACION" sheetId="143" r:id="rId5"/>
    <sheet name="Etapa LIQUIDACION" sheetId="142" state="hidden" r:id="rId6"/>
    <sheet name="Etapa RECEPCION" sheetId="140" state="hidden" r:id="rId7"/>
    <sheet name="Etapa obra PRUEBAS" sheetId="139" state="hidden" r:id="rId8"/>
    <sheet name="Etapa obra OBRA" sheetId="136" state="hidden" r:id="rId9"/>
    <sheet name="Hoja1" sheetId="144" r:id="rId10"/>
    <sheet name="CARTAS FIANZA" sheetId="133" state="hidden" r:id="rId11"/>
    <sheet name="5.EPPs-examMed (2)" sheetId="134" state="hidden" r:id="rId12"/>
    <sheet name="Hoja2" sheetId="128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 localSheetId="5">[1]AreaLaguna!#REF!</definedName>
    <definedName name="A" localSheetId="8">[1]AreaLaguna!#REF!</definedName>
    <definedName name="A" localSheetId="7">[1]AreaLaguna!#REF!</definedName>
    <definedName name="A" localSheetId="6">[1]AreaLaguna!#REF!</definedName>
    <definedName name="A" localSheetId="4">[1]AreaLaguna!#REF!</definedName>
    <definedName name="A" localSheetId="1">[1]AreaLaguna!#REF!</definedName>
    <definedName name="A" localSheetId="2">[1]AreaLaguna!#REF!</definedName>
    <definedName name="A" localSheetId="3">[1]AreaLaguna!#REF!</definedName>
    <definedName name="A">[1]AreaLaguna!#REF!</definedName>
    <definedName name="A_impresión_IM" localSheetId="5">[2]Lagsram2!#REF!</definedName>
    <definedName name="A_impresión_IM" localSheetId="8">[2]Lagsram2!#REF!</definedName>
    <definedName name="A_impresión_IM" localSheetId="7">[2]Lagsram2!#REF!</definedName>
    <definedName name="A_impresión_IM" localSheetId="6">[2]Lagsram2!#REF!</definedName>
    <definedName name="A_impresión_IM" localSheetId="4">[2]Lagsram2!#REF!</definedName>
    <definedName name="A_impresión_IM" localSheetId="1">[2]Lagsram2!#REF!</definedName>
    <definedName name="A_impresión_IM" localSheetId="2">[2]Lagsram2!#REF!</definedName>
    <definedName name="A_impresión_IM" localSheetId="3">[2]Lagsram2!#REF!</definedName>
    <definedName name="A_impresión_IM">[2]Lagsram2!#REF!</definedName>
    <definedName name="_xlnm.Print_Area" localSheetId="11">'5.EPPs-examMed (2)'!$A$2:$J$32</definedName>
    <definedName name="_xlnm.Print_Area" localSheetId="4">'Ppto covid LIQUIDACION'!$A$1:$K$119</definedName>
    <definedName name="_xlnm.Print_Area" localSheetId="1">'Ppto covid OBRA'!$A$1:$K$119</definedName>
    <definedName name="_xlnm.Print_Area" localSheetId="2">'Ppto covid PRUEBAS'!$A$1:$K$119</definedName>
    <definedName name="_xlnm.Print_Area" localSheetId="3">'Ppto covid RECEPCION'!$A$1:$K$119</definedName>
    <definedName name="_xlnm.Print_Area" localSheetId="0">'PTO TARIFA HUACHIPA'!$A$1:$H$265</definedName>
    <definedName name="B" localSheetId="5">[1]AreaLaguna!#REF!</definedName>
    <definedName name="B" localSheetId="8">[1]AreaLaguna!#REF!</definedName>
    <definedName name="B" localSheetId="7">[1]AreaLaguna!#REF!</definedName>
    <definedName name="B" localSheetId="6">[1]AreaLaguna!#REF!</definedName>
    <definedName name="B" localSheetId="4">[1]AreaLaguna!#REF!</definedName>
    <definedName name="B" localSheetId="1">[1]AreaLaguna!#REF!</definedName>
    <definedName name="B" localSheetId="2">[1]AreaLaguna!#REF!</definedName>
    <definedName name="B" localSheetId="3">[1]AreaLaguna!#REF!</definedName>
    <definedName name="B">[1]AreaLaguna!#REF!</definedName>
    <definedName name="BBB" localSheetId="5">[2]Lagsram2!#REF!</definedName>
    <definedName name="BBB" localSheetId="8">[2]Lagsram2!#REF!</definedName>
    <definedName name="BBB" localSheetId="7">[2]Lagsram2!#REF!</definedName>
    <definedName name="BBB" localSheetId="6">[2]Lagsram2!#REF!</definedName>
    <definedName name="BBB" localSheetId="4">[2]Lagsram2!#REF!</definedName>
    <definedName name="BBB" localSheetId="1">[2]Lagsram2!#REF!</definedName>
    <definedName name="BBB" localSheetId="2">[2]Lagsram2!#REF!</definedName>
    <definedName name="BBB" localSheetId="3">[2]Lagsram2!#REF!</definedName>
    <definedName name="BBB">[2]Lagsram2!#REF!</definedName>
    <definedName name="CARAPONGO" localSheetId="5">[3]AreaLaguna!#REF!</definedName>
    <definedName name="CARAPONGO" localSheetId="8">[3]AreaLaguna!#REF!</definedName>
    <definedName name="CARAPONGO" localSheetId="7">[3]AreaLaguna!#REF!</definedName>
    <definedName name="CARAPONGO" localSheetId="6">[3]AreaLaguna!#REF!</definedName>
    <definedName name="CARAPONGO" localSheetId="4">[3]AreaLaguna!#REF!</definedName>
    <definedName name="CARAPONGO" localSheetId="1">[3]AreaLaguna!#REF!</definedName>
    <definedName name="CARAPONGO" localSheetId="2">[3]AreaLaguna!#REF!</definedName>
    <definedName name="CARAPONGO" localSheetId="3">[3]AreaLaguna!#REF!</definedName>
    <definedName name="CARAPONGO">[3]AreaLaguna!#REF!</definedName>
    <definedName name="D" localSheetId="5">[1]AreaLaguna!#REF!</definedName>
    <definedName name="D" localSheetId="8">[1]AreaLaguna!#REF!</definedName>
    <definedName name="D" localSheetId="7">[1]AreaLaguna!#REF!</definedName>
    <definedName name="D" localSheetId="6">[1]AreaLaguna!#REF!</definedName>
    <definedName name="D" localSheetId="4">[1]AreaLaguna!#REF!</definedName>
    <definedName name="D" localSheetId="1">[1]AreaLaguna!#REF!</definedName>
    <definedName name="D" localSheetId="2">[1]AreaLaguna!#REF!</definedName>
    <definedName name="D" localSheetId="3">[1]AreaLaguna!#REF!</definedName>
    <definedName name="D">[1]AreaLaguna!#REF!</definedName>
    <definedName name="JornalMed" localSheetId="5">'[4]PRIM MAYO'!$E$2</definedName>
    <definedName name="JornalMed" localSheetId="8">'[4]PRIM MAYO'!$E$2</definedName>
    <definedName name="JornalMed" localSheetId="7">'[4]PRIM MAYO'!$E$2</definedName>
    <definedName name="JornalMed" localSheetId="6">'[4]PRIM MAYO'!$E$2</definedName>
    <definedName name="JornalMed" localSheetId="4">'Ppto covid LIQUIDACION'!$E$4</definedName>
    <definedName name="JornalMed" localSheetId="1">'Ppto covid OBRA'!$E$4</definedName>
    <definedName name="JornalMed" localSheetId="2">'Ppto covid PRUEBAS'!$E$4</definedName>
    <definedName name="JornalMed" localSheetId="3">'Ppto covid RECEPCION'!$E$4</definedName>
    <definedName name="JornalMed">'[5]1 Mayo'!$E$4</definedName>
    <definedName name="JornalSeg" localSheetId="4">'Ppto covid LIQUIDACION'!$E$6</definedName>
    <definedName name="JornalSeg" localSheetId="1">'Ppto covid OBRA'!$E$6</definedName>
    <definedName name="JornalSeg" localSheetId="2">'Ppto covid PRUEBAS'!$E$6</definedName>
    <definedName name="JornalSeg" localSheetId="3">'Ppto covid RECEPCION'!$E$6</definedName>
    <definedName name="NumCamp" localSheetId="4">'Ppto covid LIQUIDACION'!$D$17</definedName>
    <definedName name="NumCamp" localSheetId="1">'Ppto covid OBRA'!$D$17</definedName>
    <definedName name="NumCamp" localSheetId="2">'Ppto covid PRUEBAS'!$D$17</definedName>
    <definedName name="NumCamp" localSheetId="3">'Ppto covid RECEPCION'!$D$17</definedName>
    <definedName name="Numfrentes" localSheetId="5">'[4]PRIM MAYO'!$D$12</definedName>
    <definedName name="Numfrentes" localSheetId="8">'[4]PRIM MAYO'!$D$12</definedName>
    <definedName name="Numfrentes" localSheetId="7">'[4]PRIM MAYO'!$D$12</definedName>
    <definedName name="Numfrentes" localSheetId="6">'[4]PRIM MAYO'!$D$12</definedName>
    <definedName name="Numfrentes" localSheetId="4">'Ppto covid LIQUIDACION'!$D$14</definedName>
    <definedName name="Numfrentes" localSheetId="1">'Ppto covid OBRA'!$D$14</definedName>
    <definedName name="Numfrentes" localSheetId="2">'Ppto covid PRUEBAS'!$D$14</definedName>
    <definedName name="Numfrentes" localSheetId="3">'Ppto covid RECEPCION'!$D$14</definedName>
    <definedName name="Numfrentes">'[5]1 Mayo'!$D$14</definedName>
    <definedName name="NumTrab" localSheetId="4">'Ppto covid LIQUIDACION'!$D$9</definedName>
    <definedName name="NumTrab" localSheetId="1">'Ppto covid OBRA'!$D$9</definedName>
    <definedName name="NumTrab" localSheetId="2">'Ppto covid PRUEBAS'!$D$9</definedName>
    <definedName name="NumTrab" localSheetId="3">'Ppto covid RECEPCION'!$D$9</definedName>
    <definedName name="Numtrabtotal" localSheetId="5">'[4]PRIM MAYO'!$D$11</definedName>
    <definedName name="Numtrabtotal" localSheetId="8">'[4]PRIM MAYO'!$D$11</definedName>
    <definedName name="Numtrabtotal" localSheetId="7">'[4]PRIM MAYO'!$D$11</definedName>
    <definedName name="Numtrabtotal" localSheetId="6">'[4]PRIM MAYO'!$D$11</definedName>
    <definedName name="Numtrabtotal" localSheetId="4">'Ppto covid LIQUIDACION'!$D$13</definedName>
    <definedName name="Numtrabtotal" localSheetId="1">'Ppto covid OBRA'!$D$13</definedName>
    <definedName name="Numtrabtotal" localSheetId="2">'Ppto covid PRUEBAS'!$D$13</definedName>
    <definedName name="Numtrabtotal" localSheetId="3">'Ppto covid RECEPCION'!$D$13</definedName>
    <definedName name="Numtrabtotal">'[5]1 Mayo'!$D$13</definedName>
    <definedName name="PlazoDia" localSheetId="5">'[4]PRIM MAYO'!$D$14</definedName>
    <definedName name="PlazoDia" localSheetId="8">'[4]PRIM MAYO'!$D$14</definedName>
    <definedName name="PlazoDia" localSheetId="7">'[4]PRIM MAYO'!$D$14</definedName>
    <definedName name="PlazoDia" localSheetId="6">'[4]PRIM MAYO'!$D$14</definedName>
    <definedName name="PlazoDia" localSheetId="4">'Ppto covid LIQUIDACION'!$D$16</definedName>
    <definedName name="PlazoDia" localSheetId="1">'Ppto covid OBRA'!$D$16</definedName>
    <definedName name="PlazoDia" localSheetId="2">'Ppto covid PRUEBAS'!$D$16</definedName>
    <definedName name="PlazoDia" localSheetId="3">'Ppto covid RECEPCION'!$D$16</definedName>
    <definedName name="PlazoDia">'[5]1 Mayo'!$D$16</definedName>
    <definedName name="PlazoMes" localSheetId="5">'[4]PRIM MAYO'!$D$13</definedName>
    <definedName name="PlazoMes" localSheetId="8">'[4]PRIM MAYO'!$D$13</definedName>
    <definedName name="PlazoMes" localSheetId="7">'[4]PRIM MAYO'!$D$13</definedName>
    <definedName name="PlazoMes" localSheetId="6">'[4]PRIM MAYO'!$D$13</definedName>
    <definedName name="PlazoMes" localSheetId="4">'Ppto covid LIQUIDACION'!$D$15</definedName>
    <definedName name="PlazoMes" localSheetId="1">'Ppto covid OBRA'!$D$15</definedName>
    <definedName name="PlazoMes" localSheetId="2">'Ppto covid PRUEBAS'!$D$15</definedName>
    <definedName name="PlazoMes" localSheetId="3">'Ppto covid RECEPCION'!$D$15</definedName>
    <definedName name="PlazoMes">'[5]1 Mayo'!$D$15</definedName>
    <definedName name="ppp" localSheetId="5">[3]AreaLaguna!#REF!</definedName>
    <definedName name="ppp" localSheetId="8">[3]AreaLaguna!#REF!</definedName>
    <definedName name="ppp" localSheetId="7">[3]AreaLaguna!#REF!</definedName>
    <definedName name="ppp" localSheetId="6">[3]AreaLaguna!#REF!</definedName>
    <definedName name="ppp" localSheetId="4">[3]AreaLaguna!#REF!</definedName>
    <definedName name="ppp" localSheetId="1">[3]AreaLaguna!#REF!</definedName>
    <definedName name="ppp" localSheetId="2">[3]AreaLaguna!#REF!</definedName>
    <definedName name="ppp" localSheetId="3">[3]AreaLaguna!#REF!</definedName>
    <definedName name="ppp">[3]AreaLaguna!#REF!</definedName>
    <definedName name="PPPPPPP" localSheetId="5">[1]AreaLaguna!#REF!</definedName>
    <definedName name="PPPPPPP" localSheetId="8">[1]AreaLaguna!#REF!</definedName>
    <definedName name="PPPPPPP" localSheetId="7">[1]AreaLaguna!#REF!</definedName>
    <definedName name="PPPPPPP" localSheetId="6">[1]AreaLaguna!#REF!</definedName>
    <definedName name="PPPPPPP" localSheetId="4">[1]AreaLaguna!#REF!</definedName>
    <definedName name="PPPPPPP" localSheetId="1">[1]AreaLaguna!#REF!</definedName>
    <definedName name="PPPPPPP" localSheetId="2">[1]AreaLaguna!#REF!</definedName>
    <definedName name="PPPPPPP" localSheetId="3">[1]AreaLaguna!#REF!</definedName>
    <definedName name="PPPPPPP">[1]AreaLaguna!#REF!</definedName>
    <definedName name="PPTO" localSheetId="5">[1]AreaLaguna!#REF!</definedName>
    <definedName name="PPTO" localSheetId="8">[1]AreaLaguna!#REF!</definedName>
    <definedName name="PPTO" localSheetId="7">[1]AreaLaguna!#REF!</definedName>
    <definedName name="PPTO" localSheetId="6">[1]AreaLaguna!#REF!</definedName>
    <definedName name="PPTO" localSheetId="4">[1]AreaLaguna!#REF!</definedName>
    <definedName name="PPTO" localSheetId="1">[1]AreaLaguna!#REF!</definedName>
    <definedName name="PPTO" localSheetId="2">[1]AreaLaguna!#REF!</definedName>
    <definedName name="PPTO" localSheetId="3">[1]AreaLaguna!#REF!</definedName>
    <definedName name="PPTO">[1]AreaLaguna!#REF!</definedName>
    <definedName name="PRECIO">'[6]Equipo Alquilado'!$A$2:$E$270</definedName>
    <definedName name="_xlnm.Print_Titles" localSheetId="0">'PTO TARIFA HUACHIPA'!$2:$3</definedName>
    <definedName name="xx">'[6]Equipo Alquilado'!$A$2:$E$270</definedName>
    <definedName name="XXXXXX" localSheetId="5">[2]Lagsram2!#REF!</definedName>
    <definedName name="XXXXXX" localSheetId="8">[2]Lagsram2!#REF!</definedName>
    <definedName name="XXXXXX" localSheetId="7">[2]Lagsram2!#REF!</definedName>
    <definedName name="XXXXXX" localSheetId="6">[2]Lagsram2!#REF!</definedName>
    <definedName name="XXXXXX" localSheetId="4">[2]Lagsram2!#REF!</definedName>
    <definedName name="XXXXXX" localSheetId="1">[2]Lagsram2!#REF!</definedName>
    <definedName name="XXXXXX" localSheetId="2">[2]Lagsram2!#REF!</definedName>
    <definedName name="XXXXXX" localSheetId="3">[2]Lagsram2!#REF!</definedName>
    <definedName name="XXXXXX">[2]Lagsram2!#REF!</definedName>
  </definedNames>
  <calcPr calcId="162913"/>
  <fileRecoveryPr autoRecover="0"/>
</workbook>
</file>

<file path=xl/calcChain.xml><?xml version="1.0" encoding="utf-8"?>
<calcChain xmlns="http://schemas.openxmlformats.org/spreadsheetml/2006/main">
  <c r="G114" i="130" l="1"/>
  <c r="G115" i="130"/>
  <c r="G116" i="130"/>
  <c r="G117" i="130"/>
  <c r="G118" i="130"/>
  <c r="G119" i="130"/>
  <c r="G113" i="130"/>
  <c r="I62" i="141"/>
  <c r="I62" i="138" l="1"/>
  <c r="J220" i="130" l="1"/>
  <c r="J217" i="130"/>
  <c r="H155" i="130"/>
  <c r="H120" i="130"/>
  <c r="H154" i="130" s="1"/>
  <c r="H112" i="130"/>
  <c r="H93" i="130"/>
  <c r="H92" i="130"/>
  <c r="H91" i="130"/>
  <c r="H90" i="130"/>
  <c r="H88" i="130"/>
  <c r="H87" i="130"/>
  <c r="H86" i="130"/>
  <c r="H85" i="130"/>
  <c r="H84" i="130"/>
  <c r="H79" i="130"/>
  <c r="H78" i="130"/>
  <c r="H76" i="130"/>
  <c r="H56" i="130"/>
  <c r="H54" i="130"/>
  <c r="H52" i="130"/>
  <c r="H51" i="130"/>
  <c r="H49" i="130"/>
  <c r="H48" i="130"/>
  <c r="H47" i="130"/>
  <c r="H46" i="130"/>
  <c r="H45" i="130"/>
  <c r="H40" i="130"/>
  <c r="H39" i="130"/>
  <c r="H38" i="130"/>
  <c r="H37" i="130"/>
  <c r="H35" i="130"/>
  <c r="H34" i="130"/>
  <c r="H33" i="130"/>
  <c r="H32" i="130"/>
  <c r="H31" i="130"/>
  <c r="H30" i="130"/>
  <c r="H29" i="130"/>
  <c r="H28" i="130"/>
  <c r="H26" i="130"/>
  <c r="H25" i="130"/>
  <c r="H24" i="130"/>
  <c r="H23" i="130"/>
  <c r="H22" i="130"/>
  <c r="H153" i="130" l="1"/>
  <c r="H89" i="130"/>
  <c r="H83" i="130"/>
  <c r="H94" i="130" s="1"/>
  <c r="H141" i="130" s="1"/>
  <c r="H44" i="130"/>
  <c r="H36" i="130"/>
  <c r="H27" i="130"/>
  <c r="H21" i="130"/>
  <c r="H41" i="130" l="1"/>
  <c r="H127" i="130" l="1"/>
  <c r="H246" i="130" l="1"/>
  <c r="H244" i="130"/>
  <c r="H223" i="130"/>
  <c r="H250" i="130"/>
  <c r="H252" i="130"/>
  <c r="F109" i="134"/>
  <c r="E106" i="134"/>
  <c r="F106" i="134" s="1"/>
  <c r="F110" i="134" s="1"/>
  <c r="F108" i="134"/>
  <c r="F107" i="134"/>
  <c r="F105" i="134"/>
  <c r="F104" i="134"/>
  <c r="F103" i="134"/>
  <c r="C6" i="133"/>
  <c r="B79" i="130" l="1"/>
  <c r="B78" i="130"/>
  <c r="B77" i="130"/>
  <c r="B76" i="130"/>
  <c r="D53" i="130"/>
  <c r="H53" i="130" s="1"/>
  <c r="B118" i="130"/>
  <c r="B116" i="130"/>
  <c r="B115" i="130"/>
  <c r="B113" i="130"/>
  <c r="B114" i="130"/>
  <c r="F170" i="130"/>
  <c r="B170" i="130"/>
  <c r="B117" i="130"/>
  <c r="G60" i="134" l="1"/>
  <c r="G65" i="134" s="1"/>
  <c r="R45" i="134"/>
  <c r="Q45" i="134"/>
  <c r="P45" i="134"/>
  <c r="O45" i="134"/>
  <c r="N45" i="134"/>
  <c r="F53" i="134" s="1"/>
  <c r="D13" i="143" l="1"/>
  <c r="I115" i="143"/>
  <c r="I114" i="143" s="1"/>
  <c r="J114" i="143" s="1"/>
  <c r="I113" i="143"/>
  <c r="I110" i="143" s="1"/>
  <c r="J110" i="143" s="1"/>
  <c r="N105" i="143"/>
  <c r="N104" i="143"/>
  <c r="P101" i="143"/>
  <c r="P95" i="143"/>
  <c r="I91" i="143"/>
  <c r="I90" i="143"/>
  <c r="I89" i="143"/>
  <c r="I88" i="143"/>
  <c r="I84" i="143"/>
  <c r="G83" i="143"/>
  <c r="I83" i="143" s="1"/>
  <c r="I82" i="143"/>
  <c r="I78" i="143"/>
  <c r="G77" i="143"/>
  <c r="I77" i="143" s="1"/>
  <c r="I74" i="143"/>
  <c r="I73" i="143"/>
  <c r="Q66" i="143"/>
  <c r="I62" i="143"/>
  <c r="I61" i="143"/>
  <c r="I60" i="143"/>
  <c r="G55" i="143"/>
  <c r="I55" i="143" s="1"/>
  <c r="I54" i="143"/>
  <c r="B47" i="143"/>
  <c r="B52" i="143" s="1"/>
  <c r="B58" i="143" s="1"/>
  <c r="B64" i="143" s="1"/>
  <c r="B80" i="143" s="1"/>
  <c r="B86" i="143" s="1"/>
  <c r="B93" i="143" s="1"/>
  <c r="B109" i="143" s="1"/>
  <c r="D40" i="143"/>
  <c r="D33" i="143"/>
  <c r="D34" i="143" s="1"/>
  <c r="D35" i="143" s="1"/>
  <c r="D27" i="143"/>
  <c r="G56" i="143" s="1"/>
  <c r="I56" i="143" s="1"/>
  <c r="D16" i="143"/>
  <c r="G75" i="143" s="1"/>
  <c r="E6" i="143"/>
  <c r="E5" i="143"/>
  <c r="E4" i="143"/>
  <c r="H49" i="143" s="1"/>
  <c r="I49" i="143" s="1"/>
  <c r="F23" i="142"/>
  <c r="T20" i="142"/>
  <c r="S20" i="142"/>
  <c r="R20" i="142"/>
  <c r="Q20" i="142"/>
  <c r="P20" i="142"/>
  <c r="N20" i="142"/>
  <c r="M20" i="142"/>
  <c r="L20" i="142"/>
  <c r="K20" i="142"/>
  <c r="I20" i="142"/>
  <c r="H20" i="142"/>
  <c r="G20" i="142"/>
  <c r="C19" i="142"/>
  <c r="T17" i="142"/>
  <c r="S17" i="142"/>
  <c r="R17" i="142"/>
  <c r="Q17" i="142"/>
  <c r="P17" i="142"/>
  <c r="N17" i="142"/>
  <c r="L17" i="142"/>
  <c r="K17" i="142"/>
  <c r="J17" i="142"/>
  <c r="J23" i="142" s="1"/>
  <c r="G104" i="143" s="1"/>
  <c r="I104" i="143" s="1"/>
  <c r="I17" i="142"/>
  <c r="H17" i="142"/>
  <c r="G17" i="142"/>
  <c r="T15" i="142"/>
  <c r="S15" i="142"/>
  <c r="R15" i="142"/>
  <c r="Q15" i="142"/>
  <c r="P15" i="142"/>
  <c r="N15" i="142"/>
  <c r="M15" i="142"/>
  <c r="L15" i="142"/>
  <c r="K15" i="142"/>
  <c r="I15" i="142"/>
  <c r="H15" i="142"/>
  <c r="G15" i="142"/>
  <c r="T14" i="142"/>
  <c r="S14" i="142"/>
  <c r="R14" i="142"/>
  <c r="Q14" i="142"/>
  <c r="P14" i="142"/>
  <c r="N14" i="142"/>
  <c r="M14" i="142"/>
  <c r="L14" i="142"/>
  <c r="K14" i="142"/>
  <c r="I14" i="142"/>
  <c r="H14" i="142"/>
  <c r="G14" i="142"/>
  <c r="T13" i="142"/>
  <c r="S13" i="142"/>
  <c r="R13" i="142"/>
  <c r="Q13" i="142"/>
  <c r="P13" i="142"/>
  <c r="N13" i="142"/>
  <c r="M13" i="142"/>
  <c r="L13" i="142"/>
  <c r="K13" i="142"/>
  <c r="I13" i="142"/>
  <c r="H13" i="142"/>
  <c r="G13" i="142"/>
  <c r="T10" i="142"/>
  <c r="S10" i="142"/>
  <c r="R10" i="142"/>
  <c r="Q10" i="142"/>
  <c r="P10" i="142"/>
  <c r="O10" i="142"/>
  <c r="N10" i="142"/>
  <c r="J10" i="142"/>
  <c r="I10" i="142"/>
  <c r="G10" i="142"/>
  <c r="F10" i="142"/>
  <c r="T9" i="142"/>
  <c r="S9" i="142"/>
  <c r="R9" i="142"/>
  <c r="Q9" i="142"/>
  <c r="P9" i="142"/>
  <c r="O9" i="142"/>
  <c r="N9" i="142"/>
  <c r="J9" i="142"/>
  <c r="I9" i="142"/>
  <c r="G9" i="142"/>
  <c r="F9" i="142"/>
  <c r="G170" i="130"/>
  <c r="F169" i="130"/>
  <c r="G169" i="130" s="1"/>
  <c r="B169" i="130"/>
  <c r="B156" i="130"/>
  <c r="A156" i="130"/>
  <c r="B155" i="130"/>
  <c r="B154" i="130"/>
  <c r="B153" i="130"/>
  <c r="A155" i="130"/>
  <c r="A154" i="130"/>
  <c r="A153" i="130"/>
  <c r="B142" i="130"/>
  <c r="B141" i="130"/>
  <c r="B140" i="130"/>
  <c r="A142" i="130"/>
  <c r="A141" i="130"/>
  <c r="A140" i="130"/>
  <c r="B129" i="130"/>
  <c r="A129" i="130"/>
  <c r="B128" i="130"/>
  <c r="A128" i="130"/>
  <c r="A127" i="130"/>
  <c r="B127" i="130"/>
  <c r="G104" i="141"/>
  <c r="G77" i="141"/>
  <c r="I77" i="141" s="1"/>
  <c r="G55" i="141"/>
  <c r="I55" i="141" s="1"/>
  <c r="D27" i="141"/>
  <c r="G56" i="141" s="1"/>
  <c r="I56" i="141" s="1"/>
  <c r="T12" i="140"/>
  <c r="S12" i="140"/>
  <c r="R12" i="140"/>
  <c r="Q12" i="140"/>
  <c r="P12" i="140"/>
  <c r="O12" i="140"/>
  <c r="N12" i="140"/>
  <c r="J12" i="140"/>
  <c r="I12" i="140"/>
  <c r="G12" i="140"/>
  <c r="F12" i="140"/>
  <c r="I113" i="141"/>
  <c r="I110" i="141" s="1"/>
  <c r="J110" i="141" s="1"/>
  <c r="N105" i="141"/>
  <c r="N104" i="141"/>
  <c r="P101" i="141"/>
  <c r="P95" i="141"/>
  <c r="I91" i="141"/>
  <c r="I90" i="141"/>
  <c r="I89" i="141"/>
  <c r="I88" i="141"/>
  <c r="I87" i="141" s="1"/>
  <c r="J87" i="141" s="1"/>
  <c r="J86" i="141" s="1"/>
  <c r="I84" i="141"/>
  <c r="I83" i="141"/>
  <c r="G83" i="141"/>
  <c r="I82" i="141"/>
  <c r="I78" i="141"/>
  <c r="I74" i="141"/>
  <c r="I73" i="141"/>
  <c r="Q66" i="141"/>
  <c r="I61" i="141"/>
  <c r="I60" i="141"/>
  <c r="I54" i="141"/>
  <c r="B47" i="141"/>
  <c r="B52" i="141" s="1"/>
  <c r="B58" i="141" s="1"/>
  <c r="B64" i="141" s="1"/>
  <c r="B80" i="141" s="1"/>
  <c r="B86" i="141" s="1"/>
  <c r="B93" i="141" s="1"/>
  <c r="B109" i="141" s="1"/>
  <c r="D40" i="141"/>
  <c r="D33" i="141"/>
  <c r="D34" i="141" s="1"/>
  <c r="D35" i="141" s="1"/>
  <c r="D16" i="141"/>
  <c r="G75" i="141" s="1"/>
  <c r="E6" i="141"/>
  <c r="E5" i="141"/>
  <c r="H50" i="141" s="1"/>
  <c r="I50" i="141" s="1"/>
  <c r="E4" i="141"/>
  <c r="H49" i="141" s="1"/>
  <c r="I49" i="141" s="1"/>
  <c r="F27" i="140"/>
  <c r="T24" i="140"/>
  <c r="S24" i="140"/>
  <c r="R24" i="140"/>
  <c r="Q24" i="140"/>
  <c r="P24" i="140"/>
  <c r="N24" i="140"/>
  <c r="M24" i="140"/>
  <c r="L24" i="140"/>
  <c r="K24" i="140"/>
  <c r="I24" i="140"/>
  <c r="H24" i="140"/>
  <c r="G24" i="140"/>
  <c r="C23" i="140"/>
  <c r="D13" i="141" s="1"/>
  <c r="I115" i="141" s="1"/>
  <c r="I114" i="141" s="1"/>
  <c r="J114" i="141" s="1"/>
  <c r="T21" i="140"/>
  <c r="S21" i="140"/>
  <c r="R21" i="140"/>
  <c r="Q21" i="140"/>
  <c r="P21" i="140"/>
  <c r="N21" i="140"/>
  <c r="L21" i="140"/>
  <c r="K21" i="140"/>
  <c r="J21" i="140"/>
  <c r="J27" i="140" s="1"/>
  <c r="I21" i="140"/>
  <c r="H21" i="140"/>
  <c r="G21" i="140"/>
  <c r="T19" i="140"/>
  <c r="S19" i="140"/>
  <c r="R19" i="140"/>
  <c r="Q19" i="140"/>
  <c r="P19" i="140"/>
  <c r="N19" i="140"/>
  <c r="M19" i="140"/>
  <c r="L19" i="140"/>
  <c r="K19" i="140"/>
  <c r="I19" i="140"/>
  <c r="H19" i="140"/>
  <c r="G19" i="140"/>
  <c r="T18" i="140"/>
  <c r="S18" i="140"/>
  <c r="R18" i="140"/>
  <c r="Q18" i="140"/>
  <c r="P18" i="140"/>
  <c r="N18" i="140"/>
  <c r="M18" i="140"/>
  <c r="L18" i="140"/>
  <c r="K18" i="140"/>
  <c r="I18" i="140"/>
  <c r="H18" i="140"/>
  <c r="G18" i="140"/>
  <c r="T17" i="140"/>
  <c r="S17" i="140"/>
  <c r="R17" i="140"/>
  <c r="Q17" i="140"/>
  <c r="P17" i="140"/>
  <c r="N17" i="140"/>
  <c r="M17" i="140"/>
  <c r="L17" i="140"/>
  <c r="L27" i="140" s="1"/>
  <c r="G106" i="141" s="1"/>
  <c r="I106" i="141" s="1"/>
  <c r="K17" i="140"/>
  <c r="I17" i="140"/>
  <c r="H17" i="140"/>
  <c r="G17" i="140"/>
  <c r="T14" i="140"/>
  <c r="S14" i="140"/>
  <c r="R14" i="140"/>
  <c r="Q14" i="140"/>
  <c r="P14" i="140"/>
  <c r="O14" i="140"/>
  <c r="N14" i="140"/>
  <c r="J14" i="140"/>
  <c r="I14" i="140"/>
  <c r="G14" i="140"/>
  <c r="F14" i="140"/>
  <c r="T13" i="140"/>
  <c r="S13" i="140"/>
  <c r="R13" i="140"/>
  <c r="Q13" i="140"/>
  <c r="P13" i="140"/>
  <c r="O13" i="140"/>
  <c r="N13" i="140"/>
  <c r="J13" i="140"/>
  <c r="I13" i="140"/>
  <c r="G13" i="140"/>
  <c r="F13" i="140"/>
  <c r="T11" i="140"/>
  <c r="S11" i="140"/>
  <c r="R11" i="140"/>
  <c r="Q11" i="140"/>
  <c r="P11" i="140"/>
  <c r="O11" i="140"/>
  <c r="N11" i="140"/>
  <c r="J11" i="140"/>
  <c r="I11" i="140"/>
  <c r="G11" i="140"/>
  <c r="F11" i="140"/>
  <c r="T10" i="140"/>
  <c r="S10" i="140"/>
  <c r="R10" i="140"/>
  <c r="Q10" i="140"/>
  <c r="P10" i="140"/>
  <c r="O10" i="140"/>
  <c r="N10" i="140"/>
  <c r="J10" i="140"/>
  <c r="I10" i="140"/>
  <c r="G10" i="140"/>
  <c r="F10" i="140"/>
  <c r="T9" i="140"/>
  <c r="S9" i="140"/>
  <c r="R9" i="140"/>
  <c r="Q9" i="140"/>
  <c r="P9" i="140"/>
  <c r="O9" i="140"/>
  <c r="N9" i="140"/>
  <c r="J9" i="140"/>
  <c r="I9" i="140"/>
  <c r="G9" i="140"/>
  <c r="F9" i="140"/>
  <c r="G77" i="138"/>
  <c r="I77" i="138" s="1"/>
  <c r="D16" i="138"/>
  <c r="G75" i="138" s="1"/>
  <c r="F11" i="139"/>
  <c r="G11" i="139"/>
  <c r="I11" i="139"/>
  <c r="J11" i="139"/>
  <c r="N11" i="139"/>
  <c r="O11" i="139"/>
  <c r="P11" i="139"/>
  <c r="Q11" i="139"/>
  <c r="R11" i="139"/>
  <c r="S11" i="139"/>
  <c r="T11" i="139"/>
  <c r="F31" i="139"/>
  <c r="T28" i="139"/>
  <c r="S28" i="139"/>
  <c r="R28" i="139"/>
  <c r="Q28" i="139"/>
  <c r="P28" i="139"/>
  <c r="N28" i="139"/>
  <c r="M28" i="139"/>
  <c r="L28" i="139"/>
  <c r="K28" i="139"/>
  <c r="I28" i="139"/>
  <c r="H28" i="139"/>
  <c r="G28" i="139"/>
  <c r="C27" i="139"/>
  <c r="D13" i="138" s="1"/>
  <c r="G115" i="138" s="1"/>
  <c r="I115" i="138" s="1"/>
  <c r="I114" i="138" s="1"/>
  <c r="J114" i="138" s="1"/>
  <c r="T25" i="139"/>
  <c r="S25" i="139"/>
  <c r="R25" i="139"/>
  <c r="Q25" i="139"/>
  <c r="P25" i="139"/>
  <c r="N25" i="139"/>
  <c r="L25" i="139"/>
  <c r="K25" i="139"/>
  <c r="J25" i="139"/>
  <c r="J31" i="139" s="1"/>
  <c r="G104" i="138" s="1"/>
  <c r="I25" i="139"/>
  <c r="H25" i="139"/>
  <c r="G25" i="139"/>
  <c r="T23" i="139"/>
  <c r="S23" i="139"/>
  <c r="R23" i="139"/>
  <c r="Q23" i="139"/>
  <c r="P23" i="139"/>
  <c r="N23" i="139"/>
  <c r="M23" i="139"/>
  <c r="L23" i="139"/>
  <c r="K23" i="139"/>
  <c r="I23" i="139"/>
  <c r="H23" i="139"/>
  <c r="G23" i="139"/>
  <c r="T22" i="139"/>
  <c r="S22" i="139"/>
  <c r="R22" i="139"/>
  <c r="Q22" i="139"/>
  <c r="P22" i="139"/>
  <c r="N22" i="139"/>
  <c r="M22" i="139"/>
  <c r="L22" i="139"/>
  <c r="K22" i="139"/>
  <c r="I22" i="139"/>
  <c r="H22" i="139"/>
  <c r="G22" i="139"/>
  <c r="T21" i="139"/>
  <c r="S21" i="139"/>
  <c r="R21" i="139"/>
  <c r="Q21" i="139"/>
  <c r="P21" i="139"/>
  <c r="N21" i="139"/>
  <c r="M21" i="139"/>
  <c r="L21" i="139"/>
  <c r="K21" i="139"/>
  <c r="I21" i="139"/>
  <c r="H21" i="139"/>
  <c r="G21" i="139"/>
  <c r="T17" i="139"/>
  <c r="S17" i="139"/>
  <c r="R17" i="139"/>
  <c r="Q17" i="139"/>
  <c r="P17" i="139"/>
  <c r="O17" i="139"/>
  <c r="N17" i="139"/>
  <c r="J17" i="139"/>
  <c r="I17" i="139"/>
  <c r="G17" i="139"/>
  <c r="F17" i="139"/>
  <c r="T15" i="139"/>
  <c r="S15" i="139"/>
  <c r="R15" i="139"/>
  <c r="Q15" i="139"/>
  <c r="P15" i="139"/>
  <c r="O15" i="139"/>
  <c r="N15" i="139"/>
  <c r="J15" i="139"/>
  <c r="I15" i="139"/>
  <c r="G15" i="139"/>
  <c r="F15" i="139"/>
  <c r="T14" i="139"/>
  <c r="S14" i="139"/>
  <c r="R14" i="139"/>
  <c r="Q14" i="139"/>
  <c r="P14" i="139"/>
  <c r="O14" i="139"/>
  <c r="N14" i="139"/>
  <c r="J14" i="139"/>
  <c r="I14" i="139"/>
  <c r="G14" i="139"/>
  <c r="F14" i="139"/>
  <c r="T10" i="139"/>
  <c r="S10" i="139"/>
  <c r="R10" i="139"/>
  <c r="Q10" i="139"/>
  <c r="P10" i="139"/>
  <c r="O10" i="139"/>
  <c r="N10" i="139"/>
  <c r="J10" i="139"/>
  <c r="I10" i="139"/>
  <c r="G10" i="139"/>
  <c r="F10" i="139"/>
  <c r="T9" i="139"/>
  <c r="S9" i="139"/>
  <c r="R9" i="139"/>
  <c r="Q9" i="139"/>
  <c r="P9" i="139"/>
  <c r="O9" i="139"/>
  <c r="N9" i="139"/>
  <c r="J9" i="139"/>
  <c r="I9" i="139"/>
  <c r="G9" i="139"/>
  <c r="F9" i="139"/>
  <c r="I113" i="138"/>
  <c r="I110" i="138" s="1"/>
  <c r="J110" i="138" s="1"/>
  <c r="N105" i="138"/>
  <c r="N104" i="138"/>
  <c r="P101" i="138"/>
  <c r="P95" i="138"/>
  <c r="I91" i="138"/>
  <c r="I90" i="138"/>
  <c r="I89" i="138"/>
  <c r="I88" i="138"/>
  <c r="I84" i="138"/>
  <c r="I83" i="138"/>
  <c r="G83" i="138"/>
  <c r="I82" i="138"/>
  <c r="I78" i="138"/>
  <c r="I74" i="138"/>
  <c r="I73" i="138"/>
  <c r="Q66" i="138"/>
  <c r="I61" i="138"/>
  <c r="I60" i="138"/>
  <c r="I59" i="138" s="1"/>
  <c r="J59" i="138" s="1"/>
  <c r="J58" i="138" s="1"/>
  <c r="G99" i="130" s="1"/>
  <c r="H99" i="130" s="1"/>
  <c r="G55" i="138"/>
  <c r="I55" i="138" s="1"/>
  <c r="I54" i="138"/>
  <c r="B47" i="138"/>
  <c r="B52" i="138" s="1"/>
  <c r="B58" i="138" s="1"/>
  <c r="B64" i="138" s="1"/>
  <c r="B80" i="138" s="1"/>
  <c r="B86" i="138" s="1"/>
  <c r="B93" i="138" s="1"/>
  <c r="B109" i="138" s="1"/>
  <c r="D40" i="138"/>
  <c r="D34" i="138"/>
  <c r="D35" i="138" s="1"/>
  <c r="D33" i="138"/>
  <c r="D27" i="138"/>
  <c r="G56" i="138" s="1"/>
  <c r="I56" i="138" s="1"/>
  <c r="E6" i="138"/>
  <c r="E5" i="138"/>
  <c r="E4" i="138"/>
  <c r="H49" i="138" s="1"/>
  <c r="I49" i="138" s="1"/>
  <c r="H77" i="130"/>
  <c r="H80" i="130" s="1"/>
  <c r="C9" i="130"/>
  <c r="I23" i="142" l="1"/>
  <c r="G103" i="143" s="1"/>
  <c r="I103" i="143" s="1"/>
  <c r="G19" i="142"/>
  <c r="S19" i="142"/>
  <c r="S21" i="142" s="1"/>
  <c r="G71" i="143" s="1"/>
  <c r="I71" i="143" s="1"/>
  <c r="K19" i="142"/>
  <c r="K23" i="142" s="1"/>
  <c r="G105" i="143" s="1"/>
  <c r="I105" i="143" s="1"/>
  <c r="I87" i="143"/>
  <c r="J87" i="143" s="1"/>
  <c r="J86" i="143" s="1"/>
  <c r="J19" i="142"/>
  <c r="J22" i="142" s="1"/>
  <c r="G98" i="143" s="1"/>
  <c r="I98" i="143" s="1"/>
  <c r="M23" i="142"/>
  <c r="G107" i="143" s="1"/>
  <c r="I107" i="143" s="1"/>
  <c r="H23" i="142"/>
  <c r="G101" i="143" s="1"/>
  <c r="I101" i="143" s="1"/>
  <c r="I100" i="143" s="1"/>
  <c r="J100" i="143" s="1"/>
  <c r="G23" i="142"/>
  <c r="G102" i="143" s="1"/>
  <c r="I102" i="143" s="1"/>
  <c r="I59" i="141"/>
  <c r="J59" i="141" s="1"/>
  <c r="J58" i="141" s="1"/>
  <c r="J109" i="143"/>
  <c r="I59" i="143"/>
  <c r="J59" i="143" s="1"/>
  <c r="J58" i="143" s="1"/>
  <c r="I81" i="141"/>
  <c r="J81" i="141" s="1"/>
  <c r="J80" i="141" s="1"/>
  <c r="H50" i="143"/>
  <c r="I50" i="143" s="1"/>
  <c r="I53" i="143"/>
  <c r="J53" i="143" s="1"/>
  <c r="J52" i="143" s="1"/>
  <c r="I48" i="143"/>
  <c r="J48" i="143" s="1"/>
  <c r="J47" i="143" s="1"/>
  <c r="H140" i="130"/>
  <c r="I104" i="138"/>
  <c r="I81" i="143"/>
  <c r="J81" i="143" s="1"/>
  <c r="J80" i="143" s="1"/>
  <c r="I19" i="142"/>
  <c r="I22" i="142" s="1"/>
  <c r="G97" i="143" s="1"/>
  <c r="I97" i="143" s="1"/>
  <c r="T19" i="142"/>
  <c r="T21" i="142" s="1"/>
  <c r="G72" i="143" s="1"/>
  <c r="I72" i="143" s="1"/>
  <c r="L23" i="142"/>
  <c r="G106" i="143" s="1"/>
  <c r="I106" i="143" s="1"/>
  <c r="N19" i="142"/>
  <c r="N21" i="142" s="1"/>
  <c r="G66" i="143" s="1"/>
  <c r="I66" i="143" s="1"/>
  <c r="M19" i="142"/>
  <c r="F19" i="142"/>
  <c r="F22" i="142" s="1"/>
  <c r="G95" i="143" s="1"/>
  <c r="I95" i="143" s="1"/>
  <c r="R19" i="142"/>
  <c r="R21" i="142" s="1"/>
  <c r="G70" i="143" s="1"/>
  <c r="I70" i="143" s="1"/>
  <c r="O19" i="142"/>
  <c r="O21" i="142" s="1"/>
  <c r="G67" i="143" s="1"/>
  <c r="I67" i="143" s="1"/>
  <c r="P19" i="142"/>
  <c r="P21" i="142" s="1"/>
  <c r="G68" i="143" s="1"/>
  <c r="I68" i="143" s="1"/>
  <c r="Q19" i="142"/>
  <c r="Q21" i="142" s="1"/>
  <c r="G69" i="143" s="1"/>
  <c r="I69" i="143" s="1"/>
  <c r="G76" i="143"/>
  <c r="I76" i="143" s="1"/>
  <c r="I75" i="143"/>
  <c r="H19" i="142"/>
  <c r="L19" i="142"/>
  <c r="F171" i="130"/>
  <c r="G171" i="130" s="1"/>
  <c r="H168" i="130" s="1"/>
  <c r="I104" i="141"/>
  <c r="J109" i="141"/>
  <c r="M27" i="140"/>
  <c r="G107" i="141" s="1"/>
  <c r="I107" i="141" s="1"/>
  <c r="O23" i="140"/>
  <c r="O25" i="140" s="1"/>
  <c r="G67" i="141" s="1"/>
  <c r="I67" i="141" s="1"/>
  <c r="S23" i="140"/>
  <c r="S25" i="140" s="1"/>
  <c r="G71" i="141" s="1"/>
  <c r="I71" i="141" s="1"/>
  <c r="I27" i="140"/>
  <c r="G103" i="141" s="1"/>
  <c r="I103" i="141" s="1"/>
  <c r="T23" i="140"/>
  <c r="T25" i="140" s="1"/>
  <c r="G72" i="141" s="1"/>
  <c r="I72" i="141" s="1"/>
  <c r="G27" i="140"/>
  <c r="G102" i="141" s="1"/>
  <c r="I102" i="141" s="1"/>
  <c r="N23" i="140"/>
  <c r="N25" i="140" s="1"/>
  <c r="G66" i="141" s="1"/>
  <c r="I66" i="141" s="1"/>
  <c r="P23" i="140"/>
  <c r="P25" i="140" s="1"/>
  <c r="G68" i="141" s="1"/>
  <c r="I68" i="141" s="1"/>
  <c r="H27" i="140"/>
  <c r="G101" i="141" s="1"/>
  <c r="I101" i="141" s="1"/>
  <c r="G23" i="140"/>
  <c r="Q23" i="140"/>
  <c r="Q25" i="140" s="1"/>
  <c r="G69" i="141" s="1"/>
  <c r="I69" i="141" s="1"/>
  <c r="F23" i="140"/>
  <c r="F26" i="140" s="1"/>
  <c r="G95" i="141" s="1"/>
  <c r="I95" i="141" s="1"/>
  <c r="R23" i="140"/>
  <c r="R25" i="140" s="1"/>
  <c r="G70" i="141" s="1"/>
  <c r="I70" i="141" s="1"/>
  <c r="K23" i="140"/>
  <c r="K27" i="140" s="1"/>
  <c r="G105" i="141" s="1"/>
  <c r="I105" i="141" s="1"/>
  <c r="I23" i="140"/>
  <c r="J23" i="140"/>
  <c r="J26" i="140" s="1"/>
  <c r="G98" i="141" s="1"/>
  <c r="I98" i="141" s="1"/>
  <c r="I48" i="141"/>
  <c r="J48" i="141" s="1"/>
  <c r="J47" i="141" s="1"/>
  <c r="I53" i="141"/>
  <c r="J53" i="141" s="1"/>
  <c r="J52" i="141" s="1"/>
  <c r="G76" i="141"/>
  <c r="I76" i="141" s="1"/>
  <c r="I75" i="141"/>
  <c r="H23" i="140"/>
  <c r="L23" i="140"/>
  <c r="L26" i="140" s="1"/>
  <c r="M23" i="140"/>
  <c r="I87" i="138"/>
  <c r="J87" i="138" s="1"/>
  <c r="J86" i="138" s="1"/>
  <c r="G102" i="130" s="1"/>
  <c r="H102" i="130" s="1"/>
  <c r="I81" i="138"/>
  <c r="J81" i="138" s="1"/>
  <c r="J80" i="138" s="1"/>
  <c r="G101" i="130" s="1"/>
  <c r="H101" i="130" s="1"/>
  <c r="I53" i="138"/>
  <c r="J53" i="138" s="1"/>
  <c r="J52" i="138" s="1"/>
  <c r="G98" i="130" s="1"/>
  <c r="H98" i="130" s="1"/>
  <c r="O27" i="139"/>
  <c r="O29" i="139" s="1"/>
  <c r="G67" i="138" s="1"/>
  <c r="L31" i="139"/>
  <c r="G106" i="138" s="1"/>
  <c r="I106" i="138" s="1"/>
  <c r="G27" i="139"/>
  <c r="G31" i="139"/>
  <c r="G102" i="138" s="1"/>
  <c r="I102" i="138" s="1"/>
  <c r="H31" i="139"/>
  <c r="G101" i="138" s="1"/>
  <c r="I101" i="138" s="1"/>
  <c r="Q27" i="139"/>
  <c r="Q29" i="139" s="1"/>
  <c r="G69" i="138" s="1"/>
  <c r="F27" i="139"/>
  <c r="F30" i="139" s="1"/>
  <c r="G95" i="138" s="1"/>
  <c r="R27" i="139"/>
  <c r="R29" i="139" s="1"/>
  <c r="G70" i="138" s="1"/>
  <c r="S27" i="139"/>
  <c r="S29" i="139" s="1"/>
  <c r="G71" i="138" s="1"/>
  <c r="I31" i="139"/>
  <c r="G103" i="138" s="1"/>
  <c r="I103" i="138" s="1"/>
  <c r="I27" i="139"/>
  <c r="T27" i="139"/>
  <c r="T29" i="139" s="1"/>
  <c r="G72" i="138" s="1"/>
  <c r="K27" i="139"/>
  <c r="K31" i="139" s="1"/>
  <c r="G105" i="138" s="1"/>
  <c r="I105" i="138" s="1"/>
  <c r="P27" i="139"/>
  <c r="P29" i="139" s="1"/>
  <c r="G68" i="138" s="1"/>
  <c r="J27" i="139"/>
  <c r="J30" i="139" s="1"/>
  <c r="G98" i="138" s="1"/>
  <c r="N27" i="139"/>
  <c r="N29" i="139" s="1"/>
  <c r="G66" i="138" s="1"/>
  <c r="M31" i="139"/>
  <c r="G107" i="138" s="1"/>
  <c r="I107" i="138" s="1"/>
  <c r="H27" i="139"/>
  <c r="L27" i="139"/>
  <c r="M27" i="139"/>
  <c r="I75" i="138"/>
  <c r="G76" i="138"/>
  <c r="I76" i="138" s="1"/>
  <c r="J109" i="138"/>
  <c r="G104" i="130" s="1"/>
  <c r="H104" i="130" s="1"/>
  <c r="H50" i="138"/>
  <c r="I50" i="138" s="1"/>
  <c r="I48" i="138" s="1"/>
  <c r="J48" i="138" s="1"/>
  <c r="J47" i="138" s="1"/>
  <c r="I100" i="141" l="1"/>
  <c r="J100" i="141" s="1"/>
  <c r="L22" i="142"/>
  <c r="H22" i="142"/>
  <c r="M22" i="142"/>
  <c r="G22" i="142"/>
  <c r="G96" i="143" s="1"/>
  <c r="I96" i="143" s="1"/>
  <c r="I94" i="143" s="1"/>
  <c r="J94" i="143" s="1"/>
  <c r="J93" i="143" s="1"/>
  <c r="J117" i="143" s="1"/>
  <c r="I65" i="143"/>
  <c r="J65" i="143" s="1"/>
  <c r="J64" i="143" s="1"/>
  <c r="I100" i="138"/>
  <c r="J100" i="138" s="1"/>
  <c r="L30" i="139"/>
  <c r="I65" i="141"/>
  <c r="J65" i="141" s="1"/>
  <c r="J64" i="141" s="1"/>
  <c r="M26" i="140"/>
  <c r="I26" i="140"/>
  <c r="G97" i="141" s="1"/>
  <c r="I97" i="141" s="1"/>
  <c r="H26" i="140"/>
  <c r="G26" i="140"/>
  <c r="G96" i="141" s="1"/>
  <c r="I96" i="141" s="1"/>
  <c r="I94" i="141" s="1"/>
  <c r="J94" i="141" s="1"/>
  <c r="J93" i="141" s="1"/>
  <c r="G30" i="139"/>
  <c r="G96" i="138" s="1"/>
  <c r="H30" i="139"/>
  <c r="M30" i="139"/>
  <c r="I30" i="139"/>
  <c r="G97" i="138" s="1"/>
  <c r="J46" i="143" l="1"/>
  <c r="H174" i="130"/>
  <c r="J117" i="141"/>
  <c r="G97" i="130"/>
  <c r="H97" i="130" s="1"/>
  <c r="G73" i="137"/>
  <c r="G74" i="137"/>
  <c r="G77" i="137"/>
  <c r="P43" i="136"/>
  <c r="K43" i="136"/>
  <c r="I43" i="136"/>
  <c r="G43" i="136"/>
  <c r="J46" i="141" l="1"/>
  <c r="H122" i="130"/>
  <c r="D27" i="137"/>
  <c r="G56" i="137" s="1"/>
  <c r="I56" i="137" s="1"/>
  <c r="C42" i="136"/>
  <c r="D13" i="137" s="1"/>
  <c r="F20" i="136"/>
  <c r="F19" i="136"/>
  <c r="F18" i="136"/>
  <c r="F17" i="136"/>
  <c r="F16" i="136"/>
  <c r="F15" i="136"/>
  <c r="F14" i="136"/>
  <c r="F12" i="136"/>
  <c r="F11" i="136"/>
  <c r="F10" i="136"/>
  <c r="F9" i="136"/>
  <c r="T26" i="136"/>
  <c r="S26" i="136"/>
  <c r="R26" i="136"/>
  <c r="Q26" i="136"/>
  <c r="P26" i="136"/>
  <c r="O26" i="136"/>
  <c r="N26" i="136"/>
  <c r="J26" i="136"/>
  <c r="I26" i="136"/>
  <c r="G26" i="136"/>
  <c r="F26" i="136"/>
  <c r="T25" i="136"/>
  <c r="S25" i="136"/>
  <c r="R25" i="136"/>
  <c r="Q25" i="136"/>
  <c r="P25" i="136"/>
  <c r="O25" i="136"/>
  <c r="N25" i="136"/>
  <c r="J25" i="136"/>
  <c r="I25" i="136"/>
  <c r="G25" i="136"/>
  <c r="F25" i="136"/>
  <c r="T24" i="136"/>
  <c r="S24" i="136"/>
  <c r="R24" i="136"/>
  <c r="Q24" i="136"/>
  <c r="P24" i="136"/>
  <c r="O24" i="136"/>
  <c r="N24" i="136"/>
  <c r="J24" i="136"/>
  <c r="I24" i="136"/>
  <c r="G24" i="136"/>
  <c r="F24" i="136"/>
  <c r="T23" i="136"/>
  <c r="S23" i="136"/>
  <c r="R23" i="136"/>
  <c r="Q23" i="136"/>
  <c r="P23" i="136"/>
  <c r="O23" i="136"/>
  <c r="N23" i="136"/>
  <c r="J23" i="136"/>
  <c r="I23" i="136"/>
  <c r="G23" i="136"/>
  <c r="F23" i="136"/>
  <c r="T21" i="136"/>
  <c r="S21" i="136"/>
  <c r="R21" i="136"/>
  <c r="Q21" i="136"/>
  <c r="P21" i="136"/>
  <c r="O21" i="136"/>
  <c r="N21" i="136"/>
  <c r="J21" i="136"/>
  <c r="I21" i="136"/>
  <c r="G21" i="136"/>
  <c r="F21" i="136"/>
  <c r="I113" i="137"/>
  <c r="I110" i="137"/>
  <c r="J110" i="137" s="1"/>
  <c r="N105" i="137"/>
  <c r="N104" i="137"/>
  <c r="P101" i="137"/>
  <c r="P95" i="137"/>
  <c r="I91" i="137"/>
  <c r="I90" i="137"/>
  <c r="I89" i="137"/>
  <c r="I88" i="137"/>
  <c r="I84" i="137"/>
  <c r="G83" i="137"/>
  <c r="I83" i="137" s="1"/>
  <c r="I82" i="137"/>
  <c r="I78" i="137"/>
  <c r="I77" i="137"/>
  <c r="I74" i="137"/>
  <c r="I73" i="137"/>
  <c r="Q66" i="137"/>
  <c r="I61" i="137"/>
  <c r="I60" i="137"/>
  <c r="I59" i="137" s="1"/>
  <c r="J59" i="137" s="1"/>
  <c r="J58" i="137" s="1"/>
  <c r="G63" i="130" s="1"/>
  <c r="H63" i="130" s="1"/>
  <c r="G55" i="137"/>
  <c r="I55" i="137" s="1"/>
  <c r="I54" i="137"/>
  <c r="B47" i="137"/>
  <c r="D40" i="137"/>
  <c r="D33" i="137"/>
  <c r="D34" i="137" s="1"/>
  <c r="D35" i="137" s="1"/>
  <c r="D16" i="137"/>
  <c r="G75" i="137" s="1"/>
  <c r="E6" i="137"/>
  <c r="E5" i="137"/>
  <c r="E4" i="137"/>
  <c r="F46" i="136"/>
  <c r="T43" i="136"/>
  <c r="S43" i="136"/>
  <c r="R43" i="136"/>
  <c r="Q43" i="136"/>
  <c r="N43" i="136"/>
  <c r="M43" i="136"/>
  <c r="L43" i="136"/>
  <c r="H43" i="136"/>
  <c r="T40" i="136"/>
  <c r="S40" i="136"/>
  <c r="R40" i="136"/>
  <c r="Q40" i="136"/>
  <c r="P40" i="136"/>
  <c r="N40" i="136"/>
  <c r="L40" i="136"/>
  <c r="K40" i="136"/>
  <c r="J40" i="136"/>
  <c r="J46" i="136" s="1"/>
  <c r="G104" i="137" s="1"/>
  <c r="I104" i="137" s="1"/>
  <c r="I40" i="136"/>
  <c r="H40" i="136"/>
  <c r="G40" i="136"/>
  <c r="T38" i="136"/>
  <c r="S38" i="136"/>
  <c r="R38" i="136"/>
  <c r="Q38" i="136"/>
  <c r="P38" i="136"/>
  <c r="N38" i="136"/>
  <c r="M38" i="136"/>
  <c r="L38" i="136"/>
  <c r="K38" i="136"/>
  <c r="I38" i="136"/>
  <c r="H38" i="136"/>
  <c r="G38" i="136"/>
  <c r="T37" i="136"/>
  <c r="S37" i="136"/>
  <c r="R37" i="136"/>
  <c r="Q37" i="136"/>
  <c r="P37" i="136"/>
  <c r="N37" i="136"/>
  <c r="M37" i="136"/>
  <c r="L37" i="136"/>
  <c r="K37" i="136"/>
  <c r="I37" i="136"/>
  <c r="H37" i="136"/>
  <c r="G37" i="136"/>
  <c r="T36" i="136"/>
  <c r="S36" i="136"/>
  <c r="R36" i="136"/>
  <c r="Q36" i="136"/>
  <c r="P36" i="136"/>
  <c r="N36" i="136"/>
  <c r="M36" i="136"/>
  <c r="L36" i="136"/>
  <c r="K36" i="136"/>
  <c r="I36" i="136"/>
  <c r="H36" i="136"/>
  <c r="G36" i="136"/>
  <c r="T32" i="136"/>
  <c r="S32" i="136"/>
  <c r="R32" i="136"/>
  <c r="Q32" i="136"/>
  <c r="P32" i="136"/>
  <c r="O32" i="136"/>
  <c r="N32" i="136"/>
  <c r="J32" i="136"/>
  <c r="I32" i="136"/>
  <c r="G32" i="136"/>
  <c r="F32" i="136"/>
  <c r="T30" i="136"/>
  <c r="S30" i="136"/>
  <c r="R30" i="136"/>
  <c r="Q30" i="136"/>
  <c r="P30" i="136"/>
  <c r="O30" i="136"/>
  <c r="N30" i="136"/>
  <c r="J30" i="136"/>
  <c r="I30" i="136"/>
  <c r="G30" i="136"/>
  <c r="F30" i="136"/>
  <c r="T29" i="136"/>
  <c r="S29" i="136"/>
  <c r="R29" i="136"/>
  <c r="Q29" i="136"/>
  <c r="P29" i="136"/>
  <c r="O29" i="136"/>
  <c r="N29" i="136"/>
  <c r="J29" i="136"/>
  <c r="I29" i="136"/>
  <c r="G29" i="136"/>
  <c r="F29" i="136"/>
  <c r="T20" i="136"/>
  <c r="S20" i="136"/>
  <c r="R20" i="136"/>
  <c r="Q20" i="136"/>
  <c r="P20" i="136"/>
  <c r="O20" i="136"/>
  <c r="N20" i="136"/>
  <c r="J20" i="136"/>
  <c r="I20" i="136"/>
  <c r="G20" i="136"/>
  <c r="T19" i="136"/>
  <c r="S19" i="136"/>
  <c r="R19" i="136"/>
  <c r="Q19" i="136"/>
  <c r="P19" i="136"/>
  <c r="O19" i="136"/>
  <c r="N19" i="136"/>
  <c r="J19" i="136"/>
  <c r="I19" i="136"/>
  <c r="G19" i="136"/>
  <c r="T18" i="136"/>
  <c r="S18" i="136"/>
  <c r="R18" i="136"/>
  <c r="Q18" i="136"/>
  <c r="P18" i="136"/>
  <c r="O18" i="136"/>
  <c r="N18" i="136"/>
  <c r="J18" i="136"/>
  <c r="I18" i="136"/>
  <c r="G18" i="136"/>
  <c r="T17" i="136"/>
  <c r="S17" i="136"/>
  <c r="R17" i="136"/>
  <c r="Q17" i="136"/>
  <c r="P17" i="136"/>
  <c r="O17" i="136"/>
  <c r="N17" i="136"/>
  <c r="J17" i="136"/>
  <c r="I17" i="136"/>
  <c r="G17" i="136"/>
  <c r="T16" i="136"/>
  <c r="S16" i="136"/>
  <c r="R16" i="136"/>
  <c r="Q16" i="136"/>
  <c r="P16" i="136"/>
  <c r="O16" i="136"/>
  <c r="N16" i="136"/>
  <c r="J16" i="136"/>
  <c r="I16" i="136"/>
  <c r="G16" i="136"/>
  <c r="T15" i="136"/>
  <c r="S15" i="136"/>
  <c r="R15" i="136"/>
  <c r="Q15" i="136"/>
  <c r="P15" i="136"/>
  <c r="O15" i="136"/>
  <c r="N15" i="136"/>
  <c r="J15" i="136"/>
  <c r="I15" i="136"/>
  <c r="G15" i="136"/>
  <c r="T14" i="136"/>
  <c r="S14" i="136"/>
  <c r="R14" i="136"/>
  <c r="Q14" i="136"/>
  <c r="P14" i="136"/>
  <c r="O14" i="136"/>
  <c r="N14" i="136"/>
  <c r="J14" i="136"/>
  <c r="I14" i="136"/>
  <c r="G14" i="136"/>
  <c r="T12" i="136"/>
  <c r="S12" i="136"/>
  <c r="R12" i="136"/>
  <c r="Q12" i="136"/>
  <c r="P12" i="136"/>
  <c r="O12" i="136"/>
  <c r="N12" i="136"/>
  <c r="J12" i="136"/>
  <c r="I12" i="136"/>
  <c r="G12" i="136"/>
  <c r="T11" i="136"/>
  <c r="S11" i="136"/>
  <c r="R11" i="136"/>
  <c r="Q11" i="136"/>
  <c r="P11" i="136"/>
  <c r="O11" i="136"/>
  <c r="N11" i="136"/>
  <c r="J11" i="136"/>
  <c r="I11" i="136"/>
  <c r="G11" i="136"/>
  <c r="T10" i="136"/>
  <c r="S10" i="136"/>
  <c r="R10" i="136"/>
  <c r="Q10" i="136"/>
  <c r="P10" i="136"/>
  <c r="O10" i="136"/>
  <c r="N10" i="136"/>
  <c r="J10" i="136"/>
  <c r="I10" i="136"/>
  <c r="G10" i="136"/>
  <c r="T9" i="136"/>
  <c r="S9" i="136"/>
  <c r="R9" i="136"/>
  <c r="Q9" i="136"/>
  <c r="P9" i="136"/>
  <c r="O9" i="136"/>
  <c r="N9" i="136"/>
  <c r="J9" i="136"/>
  <c r="I9" i="136"/>
  <c r="G9" i="136"/>
  <c r="F55" i="130"/>
  <c r="H55" i="130" s="1"/>
  <c r="H156" i="130" l="1"/>
  <c r="H157" i="130" s="1"/>
  <c r="H111" i="130"/>
  <c r="H124" i="130" s="1"/>
  <c r="I81" i="137"/>
  <c r="J81" i="137" s="1"/>
  <c r="J80" i="137" s="1"/>
  <c r="G65" i="130" s="1"/>
  <c r="H65" i="130" s="1"/>
  <c r="G115" i="137"/>
  <c r="I115" i="137" s="1"/>
  <c r="I114" i="137" s="1"/>
  <c r="J114" i="137" s="1"/>
  <c r="J109" i="137" s="1"/>
  <c r="G68" i="130" s="1"/>
  <c r="H68" i="130" s="1"/>
  <c r="H46" i="136"/>
  <c r="G101" i="137" s="1"/>
  <c r="I101" i="137" s="1"/>
  <c r="G46" i="136"/>
  <c r="G102" i="137" s="1"/>
  <c r="I102" i="137" s="1"/>
  <c r="M46" i="136"/>
  <c r="G107" i="137" s="1"/>
  <c r="I107" i="137" s="1"/>
  <c r="M42" i="136"/>
  <c r="K42" i="136"/>
  <c r="K46" i="136" s="1"/>
  <c r="G105" i="137" s="1"/>
  <c r="I105" i="137" s="1"/>
  <c r="L46" i="136"/>
  <c r="G106" i="137" s="1"/>
  <c r="I106" i="137" s="1"/>
  <c r="G42" i="136"/>
  <c r="N42" i="136"/>
  <c r="N44" i="136" s="1"/>
  <c r="G66" i="137" s="1"/>
  <c r="I66" i="137" s="1"/>
  <c r="P42" i="136"/>
  <c r="P44" i="136" s="1"/>
  <c r="G68" i="137" s="1"/>
  <c r="I68" i="137" s="1"/>
  <c r="G173" i="130"/>
  <c r="H173" i="130" s="1"/>
  <c r="G172" i="130"/>
  <c r="H172" i="130" s="1"/>
  <c r="H175" i="130" s="1"/>
  <c r="I42" i="136"/>
  <c r="F42" i="136"/>
  <c r="F45" i="136" s="1"/>
  <c r="G95" i="137" s="1"/>
  <c r="I95" i="137" s="1"/>
  <c r="I96" i="138"/>
  <c r="I66" i="138"/>
  <c r="I68" i="138"/>
  <c r="I95" i="138"/>
  <c r="I87" i="137"/>
  <c r="J87" i="137" s="1"/>
  <c r="J86" i="137" s="1"/>
  <c r="G66" i="130" s="1"/>
  <c r="H66" i="130" s="1"/>
  <c r="I50" i="137"/>
  <c r="R42" i="136"/>
  <c r="R44" i="136" s="1"/>
  <c r="I46" i="136"/>
  <c r="G103" i="137" s="1"/>
  <c r="I103" i="137" s="1"/>
  <c r="T42" i="136"/>
  <c r="T44" i="136" s="1"/>
  <c r="J42" i="136"/>
  <c r="J45" i="136" s="1"/>
  <c r="O42" i="136"/>
  <c r="O44" i="136" s="1"/>
  <c r="S42" i="136"/>
  <c r="S44" i="136" s="1"/>
  <c r="Q42" i="136"/>
  <c r="Q44" i="136" s="1"/>
  <c r="I53" i="137"/>
  <c r="J53" i="137" s="1"/>
  <c r="J52" i="137" s="1"/>
  <c r="G62" i="130" s="1"/>
  <c r="H62" i="130" s="1"/>
  <c r="I75" i="137"/>
  <c r="G76" i="137"/>
  <c r="I76" i="137" s="1"/>
  <c r="B52" i="137"/>
  <c r="I49" i="137"/>
  <c r="H42" i="136"/>
  <c r="L42" i="136"/>
  <c r="F57" i="130"/>
  <c r="H57" i="130" s="1"/>
  <c r="H50" i="130" s="1"/>
  <c r="H58" i="130" s="1"/>
  <c r="H128" i="130" s="1"/>
  <c r="G45" i="136" l="1"/>
  <c r="G96" i="137" s="1"/>
  <c r="I96" i="137" s="1"/>
  <c r="M45" i="136"/>
  <c r="H159" i="130"/>
  <c r="H158" i="130"/>
  <c r="H176" i="130"/>
  <c r="H177" i="130"/>
  <c r="H178" i="130" s="1"/>
  <c r="H179" i="130" s="1"/>
  <c r="H181" i="130" s="1"/>
  <c r="I100" i="137"/>
  <c r="J100" i="137" s="1"/>
  <c r="I45" i="136"/>
  <c r="G97" i="137" s="1"/>
  <c r="I97" i="137" s="1"/>
  <c r="I97" i="138"/>
  <c r="I69" i="138"/>
  <c r="G69" i="137"/>
  <c r="I69" i="137" s="1"/>
  <c r="I71" i="138"/>
  <c r="G71" i="137"/>
  <c r="I71" i="137" s="1"/>
  <c r="I72" i="138"/>
  <c r="G72" i="137"/>
  <c r="I72" i="137" s="1"/>
  <c r="I67" i="138"/>
  <c r="G67" i="137"/>
  <c r="I67" i="137" s="1"/>
  <c r="I70" i="138"/>
  <c r="G70" i="137"/>
  <c r="I70" i="137" s="1"/>
  <c r="I98" i="138"/>
  <c r="G98" i="137"/>
  <c r="I98" i="137" s="1"/>
  <c r="I48" i="137"/>
  <c r="J48" i="137" s="1"/>
  <c r="J47" i="137" s="1"/>
  <c r="G61" i="130" s="1"/>
  <c r="H61" i="130" s="1"/>
  <c r="H45" i="136"/>
  <c r="L45" i="136"/>
  <c r="B58" i="137"/>
  <c r="H161" i="130" l="1"/>
  <c r="H162" i="130" s="1"/>
  <c r="H164" i="130" s="1"/>
  <c r="I65" i="138"/>
  <c r="J65" i="138" s="1"/>
  <c r="J64" i="138" s="1"/>
  <c r="G100" i="130" s="1"/>
  <c r="H100" i="130" s="1"/>
  <c r="I65" i="137"/>
  <c r="J65" i="137" s="1"/>
  <c r="J64" i="137" s="1"/>
  <c r="G64" i="130" s="1"/>
  <c r="H64" i="130" s="1"/>
  <c r="I94" i="137"/>
  <c r="J94" i="137" s="1"/>
  <c r="J93" i="137" s="1"/>
  <c r="G67" i="130" s="1"/>
  <c r="H67" i="130" s="1"/>
  <c r="I94" i="138"/>
  <c r="J94" i="138" s="1"/>
  <c r="J93" i="138" s="1"/>
  <c r="G103" i="130" s="1"/>
  <c r="H103" i="130" s="1"/>
  <c r="B64" i="137"/>
  <c r="H69" i="130" l="1"/>
  <c r="H105" i="130"/>
  <c r="H129" i="130"/>
  <c r="H130" i="130" s="1"/>
  <c r="H132" i="130" s="1"/>
  <c r="H71" i="130"/>
  <c r="J117" i="137"/>
  <c r="J46" i="137" s="1"/>
  <c r="J117" i="138"/>
  <c r="J46" i="138" s="1"/>
  <c r="B80" i="137"/>
  <c r="H142" i="130" l="1"/>
  <c r="H143" i="130" s="1"/>
  <c r="H107" i="130"/>
  <c r="B86" i="137"/>
  <c r="H145" i="130" l="1"/>
  <c r="H144" i="130"/>
  <c r="H147" i="130" s="1"/>
  <c r="H148" i="130" s="1"/>
  <c r="H150" i="130" s="1"/>
  <c r="B93" i="137"/>
  <c r="F191" i="130" l="1"/>
  <c r="H191" i="130" s="1"/>
  <c r="I191" i="130"/>
  <c r="B109" i="137"/>
  <c r="F245" i="130" l="1"/>
  <c r="H245" i="130" s="1"/>
  <c r="F240" i="130"/>
  <c r="H240" i="130" s="1"/>
  <c r="F241" i="130"/>
  <c r="H241" i="130" s="1"/>
  <c r="F242" i="130"/>
  <c r="H242" i="130" s="1"/>
  <c r="F243" i="130"/>
  <c r="H243" i="130" s="1"/>
  <c r="F239" i="130"/>
  <c r="H239" i="130" s="1"/>
  <c r="F236" i="130"/>
  <c r="H236" i="130" s="1"/>
  <c r="F237" i="130"/>
  <c r="H237" i="130" s="1"/>
  <c r="F232" i="130"/>
  <c r="H232" i="130" s="1"/>
  <c r="F233" i="130"/>
  <c r="H233" i="130" s="1"/>
  <c r="F234" i="130"/>
  <c r="H234" i="130" s="1"/>
  <c r="F235" i="130"/>
  <c r="H235" i="130" s="1"/>
  <c r="F231" i="130"/>
  <c r="H231" i="130" s="1"/>
  <c r="F225" i="130"/>
  <c r="H225" i="130" s="1"/>
  <c r="F224" i="130"/>
  <c r="H224" i="130" s="1"/>
  <c r="H247" i="130" l="1"/>
  <c r="H227" i="130"/>
  <c r="E345" i="130"/>
  <c r="H344" i="130"/>
  <c r="E344" i="130"/>
  <c r="E343" i="130"/>
  <c r="E342" i="130"/>
  <c r="G341" i="130"/>
  <c r="H341" i="130" s="1"/>
  <c r="E341" i="130"/>
  <c r="E331" i="130"/>
  <c r="E330" i="130"/>
  <c r="E329" i="130"/>
  <c r="E328" i="130"/>
  <c r="E327" i="130"/>
  <c r="E321" i="130"/>
  <c r="E320" i="130"/>
  <c r="E319" i="130"/>
  <c r="E318" i="130"/>
  <c r="E317" i="130"/>
  <c r="E316" i="130"/>
  <c r="E315" i="130"/>
  <c r="G314" i="130"/>
  <c r="E314" i="130"/>
  <c r="E313" i="130"/>
  <c r="E312" i="130"/>
  <c r="E311" i="130"/>
  <c r="M45" i="134"/>
  <c r="C39" i="133" l="1"/>
  <c r="E332" i="130"/>
  <c r="E333" i="130" s="1"/>
  <c r="E334" i="130" s="1"/>
  <c r="E346" i="130"/>
  <c r="E347" i="130" s="1"/>
  <c r="E348" i="130" s="1"/>
  <c r="E349" i="130" s="1"/>
  <c r="E350" i="130" s="1"/>
  <c r="E322" i="130"/>
  <c r="E323" i="130" s="1"/>
  <c r="E324" i="130" s="1"/>
  <c r="J211" i="130" l="1"/>
  <c r="E351" i="130"/>
  <c r="E352" i="130" s="1"/>
  <c r="F352" i="130" s="1"/>
  <c r="E336" i="130"/>
  <c r="E337" i="130" s="1"/>
  <c r="E338" i="130" s="1"/>
  <c r="E353" i="130" s="1"/>
  <c r="H259" i="130" l="1"/>
  <c r="H260" i="130" s="1"/>
  <c r="F338" i="130"/>
  <c r="F353" i="130" s="1"/>
  <c r="I86" i="134"/>
  <c r="I87" i="134" s="1"/>
  <c r="I89" i="134" s="1"/>
  <c r="F52" i="134"/>
  <c r="E52" i="134"/>
  <c r="E54" i="134" s="1"/>
  <c r="D52" i="134"/>
  <c r="D54" i="134" s="1"/>
  <c r="F40" i="134"/>
  <c r="E38" i="134"/>
  <c r="F38" i="134" s="1"/>
  <c r="I16" i="134"/>
  <c r="F41" i="134" l="1"/>
  <c r="C176" i="130"/>
  <c r="F54" i="134"/>
  <c r="G54" i="134" s="1"/>
  <c r="E34" i="133"/>
  <c r="C32" i="133"/>
  <c r="D29" i="133"/>
  <c r="E29" i="133" s="1"/>
  <c r="D28" i="133"/>
  <c r="E28" i="133" s="1"/>
  <c r="F27" i="133"/>
  <c r="F28" i="133" s="1"/>
  <c r="D27" i="133"/>
  <c r="E27" i="133" s="1"/>
  <c r="E26" i="133"/>
  <c r="H23" i="133"/>
  <c r="F17" i="133"/>
  <c r="F18" i="133" s="1"/>
  <c r="F19" i="133" s="1"/>
  <c r="F20" i="133" s="1"/>
  <c r="F21" i="133" s="1"/>
  <c r="D17" i="133"/>
  <c r="D18" i="133" s="1"/>
  <c r="D19" i="133" s="1"/>
  <c r="E16" i="133"/>
  <c r="E11" i="133"/>
  <c r="F11" i="133"/>
  <c r="E17" i="133" l="1"/>
  <c r="E22" i="134"/>
  <c r="F43" i="134"/>
  <c r="E19" i="133"/>
  <c r="D20" i="133"/>
  <c r="H22" i="133"/>
  <c r="E18" i="133"/>
  <c r="H30" i="133"/>
  <c r="F34" i="133"/>
  <c r="G34" i="133" s="1"/>
  <c r="E24" i="134" l="1"/>
  <c r="I24" i="134" s="1"/>
  <c r="I22" i="134"/>
  <c r="I195" i="130"/>
  <c r="E23" i="134"/>
  <c r="I23" i="134" s="1"/>
  <c r="E71" i="134"/>
  <c r="H71" i="134" s="1"/>
  <c r="H76" i="134" s="1"/>
  <c r="H253" i="130"/>
  <c r="E25" i="134"/>
  <c r="I25" i="134" s="1"/>
  <c r="C26" i="133"/>
  <c r="C16" i="133"/>
  <c r="I16" i="133" s="1"/>
  <c r="C11" i="133"/>
  <c r="H11" i="133" s="1"/>
  <c r="D21" i="133"/>
  <c r="E21" i="133" s="1"/>
  <c r="E20" i="133"/>
  <c r="E31" i="134" l="1"/>
  <c r="I31" i="134" s="1"/>
  <c r="H255" i="130"/>
  <c r="H78" i="134"/>
  <c r="E26" i="134"/>
  <c r="I26" i="134" s="1"/>
  <c r="C17" i="133"/>
  <c r="C29" i="133"/>
  <c r="I29" i="133" s="1"/>
  <c r="C27" i="133"/>
  <c r="I26" i="133"/>
  <c r="E27" i="134" l="1"/>
  <c r="I27" i="134" s="1"/>
  <c r="C28" i="133"/>
  <c r="I28" i="133" s="1"/>
  <c r="I27" i="133"/>
  <c r="I17" i="133"/>
  <c r="C18" i="133"/>
  <c r="C19" i="133" s="1"/>
  <c r="C20" i="133" l="1"/>
  <c r="I19" i="133"/>
  <c r="I30" i="133"/>
  <c r="E28" i="134"/>
  <c r="I28" i="134" s="1"/>
  <c r="I18" i="133"/>
  <c r="E29" i="134" l="1"/>
  <c r="I29" i="134" s="1"/>
  <c r="E30" i="134" l="1"/>
  <c r="I30" i="134" s="1"/>
  <c r="I32" i="134" s="1"/>
  <c r="C21" i="133"/>
  <c r="I21" i="133" s="1"/>
  <c r="I20" i="133"/>
  <c r="I22" i="133" l="1"/>
  <c r="H251" i="130" l="1"/>
  <c r="H208" i="130" l="1"/>
  <c r="H211" i="130" l="1"/>
  <c r="H215" i="130" l="1"/>
  <c r="H213" i="130"/>
  <c r="H210" i="130"/>
  <c r="H207" i="130"/>
  <c r="H206" i="130"/>
  <c r="H217" i="130" l="1"/>
  <c r="K217" i="130" s="1"/>
  <c r="J11" i="133" s="1"/>
  <c r="H204" i="130" l="1"/>
  <c r="E204" i="130" s="1"/>
  <c r="E39" i="133" l="1"/>
  <c r="H195" i="130" l="1"/>
  <c r="H254" i="130" l="1"/>
  <c r="H256" i="130" s="1"/>
  <c r="H220" i="130" s="1"/>
  <c r="K220" i="130" l="1"/>
  <c r="E355" i="130" s="1"/>
  <c r="H262" i="130"/>
  <c r="H131" i="130" s="1"/>
  <c r="H134" i="130" s="1"/>
  <c r="H135" i="130" s="1"/>
  <c r="H137" i="130" s="1"/>
  <c r="E220" i="130"/>
  <c r="E262" i="130" l="1"/>
  <c r="H264" i="130"/>
  <c r="E264" i="130" l="1"/>
  <c r="I190" i="130" l="1"/>
  <c r="F190" i="130"/>
  <c r="H190" i="130" s="1"/>
  <c r="F192" i="130" l="1"/>
  <c r="H192" i="130" s="1"/>
  <c r="I192" i="130"/>
  <c r="H197" i="130" l="1"/>
  <c r="E4" i="133" s="1"/>
  <c r="E5" i="133" s="1"/>
</calcChain>
</file>

<file path=xl/comments1.xml><?xml version="1.0" encoding="utf-8"?>
<comments xmlns="http://schemas.openxmlformats.org/spreadsheetml/2006/main">
  <authors>
    <author>Patricia Pareja Espinoza</author>
  </authors>
  <commentList>
    <comment ref="F190" authorId="0" shapeId="0">
      <text>
        <r>
          <rPr>
            <b/>
            <sz val="9"/>
            <color indexed="81"/>
            <rFont val="Tahoma"/>
            <family val="2"/>
          </rPr>
          <t xml:space="preserve">Colocar todos los decimeles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1" authorId="0" shapeId="0">
      <text>
        <r>
          <rPr>
            <sz val="9"/>
            <color indexed="81"/>
            <rFont val="Tahoma"/>
            <family val="2"/>
          </rPr>
          <t xml:space="preserve">Colocar todos los decimales
</t>
        </r>
      </text>
    </comment>
    <comment ref="F192" authorId="0" shapeId="0">
      <text>
        <r>
          <rPr>
            <b/>
            <sz val="9"/>
            <color indexed="81"/>
            <rFont val="Tahoma"/>
            <family val="2"/>
          </rPr>
          <t xml:space="preserve">Colocar todos los decimales
</t>
        </r>
      </text>
    </comment>
  </commentList>
</comments>
</file>

<file path=xl/sharedStrings.xml><?xml version="1.0" encoding="utf-8"?>
<sst xmlns="http://schemas.openxmlformats.org/spreadsheetml/2006/main" count="1641" uniqueCount="544">
  <si>
    <t>estim</t>
  </si>
  <si>
    <t>Fianzas: Contratación</t>
  </si>
  <si>
    <t>Seguros: Contratación</t>
  </si>
  <si>
    <t>MESES</t>
  </si>
  <si>
    <t xml:space="preserve">FOTOCOPIAS (A4 y A3) Y ANILLADOS </t>
  </si>
  <si>
    <t>TINTAS PARA IMPRESORA Y/O TONER</t>
  </si>
  <si>
    <t>milllar</t>
  </si>
  <si>
    <t>mes</t>
  </si>
  <si>
    <t>estim.</t>
  </si>
  <si>
    <t>%</t>
  </si>
  <si>
    <t>Expediente:</t>
  </si>
  <si>
    <t>PARCIAL 1</t>
  </si>
  <si>
    <t>MÁS I.G.V.  (Ley N° 2966 : 18%)</t>
  </si>
  <si>
    <t xml:space="preserve">TECNICOS DE INGENIERÍA, INSPECTORES DE CAMPO </t>
  </si>
  <si>
    <t>DIBUJANTE  TÉCNICO, PARA DESARROLLO DE PLANOS EN  AUTO CAD - GIS</t>
  </si>
  <si>
    <t>PAPEL BOND A4 80 Grs SATINADO</t>
  </si>
  <si>
    <t>millar</t>
  </si>
  <si>
    <t>DIGITALIZACIÓN DE PLANOS Y DOCUMENTOS DE SUPERVISIÓN (Planos A0, A3 y documentación  de Informes)</t>
  </si>
  <si>
    <t>Und.</t>
  </si>
  <si>
    <t>ELABORACIÓN DEL PLAN DE SEGURIDAD Y SALUD OCUPACIONAL Y  CAPACITACIÓN  PARA PERSONAL DE LA CONSULTORÍA</t>
  </si>
  <si>
    <t>SEGURO COMPLEMENTARIO DE TRABAJO DE RIESGO:  SCTR PENSIÓN  Y SALUD</t>
  </si>
  <si>
    <t>EQUIPOS DE OFICINA: ALQUILER Y/O DEPRECIACIÓN Y MANTENIMIENTO; SOFTWARE</t>
  </si>
  <si>
    <t>GASTOS DEL CONCURSO Y CONTRATACIÓN PARA LA OBRA:</t>
  </si>
  <si>
    <t>Recepción de la Obra</t>
  </si>
  <si>
    <t>Total plazo en Días calendario  de la consultoría para supervisión hasta recepción de la obra:</t>
  </si>
  <si>
    <t>INCIDENCIA
%</t>
  </si>
  <si>
    <t>TIEMPO
MESES</t>
  </si>
  <si>
    <t>HONORARIOS
SOLES (S/)</t>
  </si>
  <si>
    <t>IMPORTE    
SOLES (S/)</t>
  </si>
  <si>
    <t>UNIFORME PARA PERSONAL PROFESIONAL, TÉCNICO Y AUXILIARES   (botín, chaleco multibolsillo con cinta reflectiva, casco con rachet, etc )</t>
  </si>
  <si>
    <t>Nota: El Valor Referencial de la Tarifa Diaria considera los costos directos, cargas sociales, gastos generales, utilidad y tributos (IGV)</t>
  </si>
  <si>
    <t>TOTAL GASTOS GENERALES PARA SUPERVISIÓN DE LA OBRA (HASTA SU RECEPCIÓN)</t>
  </si>
  <si>
    <t>UTILIDAD ÍTEM I</t>
  </si>
  <si>
    <t>SUB TOTAL ÍTEM II</t>
  </si>
  <si>
    <t>MONTO VALOR REFERENCIAL PRESUPUESTO II LIQUIDACIÓN DE LA OBRA</t>
  </si>
  <si>
    <t>SUB PRESUPUESTO ITEM I:</t>
  </si>
  <si>
    <t>MONTO S/</t>
  </si>
  <si>
    <t>SUB PRESUPUESTO ITEM II:</t>
  </si>
  <si>
    <t>ESPECIALIDAD O FUNCION / DESCRPCION</t>
  </si>
  <si>
    <t>PARTICIPACION EN EL ESTUDIO</t>
  </si>
  <si>
    <t>U/M</t>
  </si>
  <si>
    <t>CANT</t>
  </si>
  <si>
    <t>% PARTICIP</t>
  </si>
  <si>
    <t>H / Mes</t>
  </si>
  <si>
    <t>SUB TOTAL
(S/)</t>
  </si>
  <si>
    <t xml:space="preserve">PERSONAL PROFESIONAL  </t>
  </si>
  <si>
    <t>PERSONAL TÉCNICO:</t>
  </si>
  <si>
    <t>PARCIAL 1.1  SUELDOS Y SALARIOS DEL PERSONAL PROFESIONAL Y TÉCNICO:</t>
  </si>
  <si>
    <t>MOVILIDAD Y EQUIPOS DE CAMPO PARA OBRA</t>
  </si>
  <si>
    <t>SERVICIO Y MANTENIMIENTO DE OFICINA EN CAMPO</t>
  </si>
  <si>
    <t>CONEXIÓN INTERNET Y RED OFICINA DE CAMPO</t>
  </si>
  <si>
    <t>EQUIPO DE COMUNICACIÓN (RADIO TELEFONÍA)</t>
  </si>
  <si>
    <t>EQUIPO VIDEO FOTOGRÁFICO Y CÁMARA DIGITAL</t>
  </si>
  <si>
    <t>PLAN DE SEGURIDAD Y SALUD OCUPACIONAL PARA PERSONAL DE LA SUPERVISION DE LA OBRA</t>
  </si>
  <si>
    <t>ADMINISTRADOR  GENERAL  Y CONTROL  DE CALIDAD</t>
  </si>
  <si>
    <t>CONTADOR</t>
  </si>
  <si>
    <t>SECRETARIA</t>
  </si>
  <si>
    <t xml:space="preserve">ALQUILER O DEPRECIACIÓN DE OFICINA PRINCIPAL
(INCL. AUTOVALÚO Y ARBITRIOS) </t>
  </si>
  <si>
    <t>MOBILIARIO DE OFICINA</t>
  </si>
  <si>
    <t>SERVICIO Y MANTENIMIENTO DE OFICINA  (LUZ, AGUA, ETC.)</t>
  </si>
  <si>
    <t xml:space="preserve">MANTENIMIENTO DE EQUIPOS EN OFC. PRINCIPAL: PCS. PLOTTER, IMPRESORAS, FOTOCOPIADORAS, ETC. </t>
  </si>
  <si>
    <t>CONEXIÓN INTERNET Y RED DE OFICINA PRINCIPAL Y TELEFONIA FIJA</t>
  </si>
  <si>
    <t>COSTOS POR ALQUILER Y/O DEPRECIACIÓN Y MANTENIMIENTO DE ESTACIÓN DE TRABAJO, PCS. IMPRESORAS, PLOTTER, COPIADORAS, ESCANER Y LICENCIAS POR SOFTWARE.</t>
  </si>
  <si>
    <t xml:space="preserve">DOCUMENTOS DE PRESENTACIÓN 
(ADQUISICIÓN DE BASES Y GASTOS NOTARIALES) </t>
  </si>
  <si>
    <t>VISITAS A LA ZONA DE EJECUCIÓN DE LA OBRA</t>
  </si>
  <si>
    <t>LEGALES Y NOTARIALES DE LA ORGANIZACIÓN</t>
  </si>
  <si>
    <t xml:space="preserve">FIANZA POR GARANTÍA DE FIEL CUMPLIMIENTO 
(VIGENCIA HASTA LA LIQUIDACIÓN) </t>
  </si>
  <si>
    <t>GASTOS GENERALES VARIABLES:</t>
  </si>
  <si>
    <t>GASTOS GENERALES FIJOS</t>
  </si>
  <si>
    <t>PARCIAL 2.1</t>
  </si>
  <si>
    <t>PARCIAL 2.2</t>
  </si>
  <si>
    <t>PARCIAL 2.3</t>
  </si>
  <si>
    <t>PARCIAL 2.4</t>
  </si>
  <si>
    <t>TIEMPO
EN MESES</t>
  </si>
  <si>
    <t>VALOR REFERENCIAL DEL SERVICIO DE CONSULTORIA DE OBRA PARA LA SUPERVISION DE LAS OBRAS DEL PROYECTO    (SUB PRESUPUESTOS ITEM I y II)</t>
  </si>
  <si>
    <t>COSTO U/M
SOLES (S/)</t>
  </si>
  <si>
    <t>PRECIO UNIT
MENSUAL 
(S/ )</t>
  </si>
  <si>
    <t>PARCIAL 1.2  ALQUILERES Y SERVICIOS</t>
  </si>
  <si>
    <t>FOTOCOPIAS DE PLANOS Y PLOTEOS</t>
  </si>
  <si>
    <t>ÚTILES DE OF. (Papel Bond,  folders, CDs. )</t>
  </si>
  <si>
    <t>Poliza de Seguros ESSALUD + Vida para los trabajadores, Seguros de la Empresa, equipos, etc.</t>
  </si>
  <si>
    <t>Fianza por Garantía de Adelanto en Efectivo (Inicial y renovaciones)</t>
  </si>
  <si>
    <t>FOTOCOPIAS, PAPELERÏA, TINTAS , CDs Y OTROS ÚTILES de OFICINA PARA SUPERVISIÓN  DE OBRAS  E INTERVENCIÓN SOCIAL</t>
  </si>
  <si>
    <t>Elaboración de la Propuesta - Expediente</t>
  </si>
  <si>
    <t>ALQUILERES Y SERVICIOS A EMPLEAR DURANTE LA EJECUCIÓN DE LA OBRA</t>
  </si>
  <si>
    <t>PERSONAL, LOCALES Y MOVILIDAD PARA RECEPCIÓN DE LA OBRA</t>
  </si>
  <si>
    <t>EQUIPOS DE VÍDEO FOTOGRAFÍA Y CÁMARA DIGITAL</t>
  </si>
  <si>
    <t>OFICINAS DE SEDE CENTRAL DURANTE EJECUCIÓN  DE OBRA 
(Incl. equipamiento, servicios y artículos de oficina),</t>
  </si>
  <si>
    <t>Liquidación de la Obra</t>
  </si>
  <si>
    <t>Sistema de Licitación Por Tarifa Diaria:</t>
  </si>
  <si>
    <t>Sistema de Licitación a Suma Alzada:</t>
  </si>
  <si>
    <t>LOCAL OFICINA TECNICA - MOBILIARIO DE CAMPO PARA LA OBRA</t>
  </si>
  <si>
    <t>ELEMENTOS DE SEGURIDAD COMPLEMENTARIOS  PARA TRABAJOS DE CAMPO (tranqueras, conos, carteles, arnés, escaleras, etc.)</t>
  </si>
  <si>
    <t>MONTO S/
(INCL. IGV)</t>
  </si>
  <si>
    <t>Descripcion</t>
  </si>
  <si>
    <t>INGRESO DE DATOS</t>
  </si>
  <si>
    <t>Costo Directo :</t>
  </si>
  <si>
    <t>Soles</t>
  </si>
  <si>
    <t>Ingreso de Datos</t>
  </si>
  <si>
    <t>GGU :</t>
  </si>
  <si>
    <t>Calculos Previos</t>
  </si>
  <si>
    <t>SUB TOTAL (sin IGV)</t>
  </si>
  <si>
    <t>Resultado</t>
  </si>
  <si>
    <t>dias</t>
  </si>
  <si>
    <t>*</t>
  </si>
  <si>
    <t>FIANZA POR GARANTIA DE FIEL CUMPLIMIENTO (10%)</t>
  </si>
  <si>
    <t>Descripción</t>
  </si>
  <si>
    <t>Garantia Fiel Cump.</t>
  </si>
  <si>
    <t>TEA</t>
  </si>
  <si>
    <t>TEA / 360 dias</t>
  </si>
  <si>
    <t>Duración Obra</t>
  </si>
  <si>
    <t>Duración Liq.</t>
  </si>
  <si>
    <t>Garantia FC</t>
  </si>
  <si>
    <t>(Dias)</t>
  </si>
  <si>
    <t xml:space="preserve"> (sin IGV)  S/.</t>
  </si>
  <si>
    <t>FIANZA POR GARANTIA DE FC</t>
  </si>
  <si>
    <t>&lt;---  Fianza</t>
  </si>
  <si>
    <t>FIANZA POR GARANTIA DE DE ADELANTO EN EFECTIVO (10%)</t>
  </si>
  <si>
    <t>Factor</t>
  </si>
  <si>
    <t>Avance</t>
  </si>
  <si>
    <t xml:space="preserve">Renovacion </t>
  </si>
  <si>
    <t>Garantia FC (sin IGV)</t>
  </si>
  <si>
    <t>c/ 3 meses (Dias)</t>
  </si>
  <si>
    <t>S/.</t>
  </si>
  <si>
    <t>FIANZA 
Adelanto en Efectivo</t>
  </si>
  <si>
    <t>&lt;---  Carta Fianza 1</t>
  </si>
  <si>
    <t>&lt;---  Renovacion Cartas Fianza</t>
  </si>
  <si>
    <t>FIANZA POR GARANTIA DE DE ADELANTO EN MATERIALES (10%)</t>
  </si>
  <si>
    <t>FIANZA 
Adelanto en Materiales</t>
  </si>
  <si>
    <t>PÓLIZA DE SEGUROS C.A.R. (Vigencia durante la ejecucion de Obra)</t>
  </si>
  <si>
    <t>Póliza</t>
  </si>
  <si>
    <r>
      <t>%</t>
    </r>
    <r>
      <rPr>
        <sz val="8"/>
        <color indexed="8"/>
        <rFont val="Arial Narrow"/>
        <family val="2"/>
      </rPr>
      <t>o</t>
    </r>
  </si>
  <si>
    <t>PÓLIZA DE SEGUROS C.A.R.</t>
  </si>
  <si>
    <t>&lt;---  Póliza</t>
  </si>
  <si>
    <t>PÓLIZA DE SEGUROS COMPLEMENTARIOS DE TRABAJO DE RIESGO  (Vigencia durante la ejecucion de Obra)</t>
  </si>
  <si>
    <t>COSTO DE 
PROFESIONALES</t>
  </si>
  <si>
    <t>PÓLIZA DE SCTR</t>
  </si>
  <si>
    <t>Duracion obra :</t>
  </si>
  <si>
    <t>TARIFA DIARIA S/
(Incluye GG+UT+IGV)</t>
  </si>
  <si>
    <t>DÍAS</t>
  </si>
  <si>
    <t xml:space="preserve">VALOR REFERENCIAL - HOJA RESUMEN </t>
  </si>
  <si>
    <t>DESCRPCIÓN DEL OBJETO</t>
  </si>
  <si>
    <t>N° DE 
DÍAS</t>
  </si>
  <si>
    <t>UNIDAD DE 
TIEMPO</t>
  </si>
  <si>
    <t>EXÄMENES MÉDICOS PRE-OCUPACIONAL y DE RETIRO,  DE  LOS PROFESIONALES Y TÉCNICOS QUE PARTICIPAN EN EL SERVICIO DE CONSULTORÍA</t>
  </si>
  <si>
    <t>IMPLEMENTOS DE SEGURIDAD</t>
  </si>
  <si>
    <t>MASFILTER S.A.</t>
  </si>
  <si>
    <t>JI GENERAL INVESTMENTS S.A.C.</t>
  </si>
  <si>
    <t>CORPORACIONES DM &amp;WW S.A.C.</t>
  </si>
  <si>
    <t>PERSONAL TECNICO - ADMINISTRATIVO</t>
  </si>
  <si>
    <t>OPERAT</t>
  </si>
  <si>
    <t>CAMPO</t>
  </si>
  <si>
    <t>OF</t>
  </si>
  <si>
    <t>RADIOS</t>
  </si>
  <si>
    <t>CANTIDAD</t>
  </si>
  <si>
    <t>PU</t>
  </si>
  <si>
    <t>% usuarios</t>
  </si>
  <si>
    <t>N usos</t>
  </si>
  <si>
    <t>total</t>
  </si>
  <si>
    <t>Protectores de Cabeza - Casco</t>
  </si>
  <si>
    <t>5% de adicional, desperd.</t>
  </si>
  <si>
    <t>Polo</t>
  </si>
  <si>
    <t>1 cada 4 meses</t>
  </si>
  <si>
    <t>ropa de seguridad</t>
  </si>
  <si>
    <t>1 uso toda obra</t>
  </si>
  <si>
    <t>Calzado de Seguridad</t>
  </si>
  <si>
    <t>Protección de manos - guantes de badana</t>
  </si>
  <si>
    <t>1 cada 2 meses</t>
  </si>
  <si>
    <t>Protectores Visual - lentes</t>
  </si>
  <si>
    <t>Protectores de Oidos - orejeras</t>
  </si>
  <si>
    <t>1 cada 1 meses (25% del personal)</t>
  </si>
  <si>
    <t>Respirador 2 vias p/polvo</t>
  </si>
  <si>
    <t>1 cada 0.5 meses</t>
  </si>
  <si>
    <t>Chaleco en drill, ropa de seguridad</t>
  </si>
  <si>
    <t>1 cada 4 meses (25% del personal)</t>
  </si>
  <si>
    <t>Casacas</t>
  </si>
  <si>
    <t>EXAMENES MEDICOS</t>
  </si>
  <si>
    <t>PERSONAL OBRERO - CONTRUCCION CIVIL</t>
  </si>
  <si>
    <t>N veces</t>
  </si>
  <si>
    <t>Precio</t>
  </si>
  <si>
    <t>Parcial</t>
  </si>
  <si>
    <t>Pre ocupacionales</t>
  </si>
  <si>
    <t>Ocupacionales</t>
  </si>
  <si>
    <t>Retiro</t>
  </si>
  <si>
    <t>Numero de personas</t>
  </si>
  <si>
    <t>Personal</t>
  </si>
  <si>
    <t>Administra</t>
  </si>
  <si>
    <t>Pre ocupacional</t>
  </si>
  <si>
    <t>ocupacional</t>
  </si>
  <si>
    <t>Protección y vigilancia en campo</t>
  </si>
  <si>
    <t>PERSONAL - VIGILANTE</t>
  </si>
  <si>
    <t>SUB TOTAL</t>
  </si>
  <si>
    <t xml:space="preserve">Protección y vigilancia en campo </t>
  </si>
  <si>
    <t>TOTAL</t>
  </si>
  <si>
    <t>AGUA - PERSONAL</t>
  </si>
  <si>
    <t>DIAS</t>
  </si>
  <si>
    <t>NUERO LTS</t>
  </si>
  <si>
    <t>AGUA - PERSONAL - REHIDRATACION</t>
  </si>
  <si>
    <t>6 meses x 25 días trabajados  por mes</t>
  </si>
  <si>
    <t>1 PERSONA 2 BOTELLAS DE 350MM /DIA</t>
  </si>
  <si>
    <t>Bidón de 20 Litros(Sin IGV)</t>
  </si>
  <si>
    <t>Costo por Litro</t>
  </si>
  <si>
    <t>Mesa y Vasos</t>
  </si>
  <si>
    <t>Costo Litro</t>
  </si>
  <si>
    <t>Antes 1.50</t>
  </si>
  <si>
    <t>und</t>
  </si>
  <si>
    <t>estimado</t>
  </si>
  <si>
    <t xml:space="preserve">PERSONAL PROFESIONAL Y TECNICO DE LA SUPERVISION PARA LA LIQUIDACION DE OBRA </t>
  </si>
  <si>
    <t>AGUA EN BIDONES DE 20 LITROS PARA CONSUMO PERSONAL  DE SUPERVISION DE OBRA</t>
  </si>
  <si>
    <t>PROMOCIÓN, DESARROLLO, TECNOLOGÍA Y CAPACITACIÓN (FACTIBILIDAD):</t>
  </si>
  <si>
    <t>SOFTWARE:</t>
  </si>
  <si>
    <t>Lic. Windows</t>
  </si>
  <si>
    <t>Lic. MS Office</t>
  </si>
  <si>
    <t>Lic. Ms Project</t>
  </si>
  <si>
    <t>Lic. Autocad</t>
  </si>
  <si>
    <t>Lic. WaterCad</t>
  </si>
  <si>
    <t>Lic. SewerCad</t>
  </si>
  <si>
    <t>Lic. Arc Gis</t>
  </si>
  <si>
    <t>Lic. SAP 2000</t>
  </si>
  <si>
    <t>Lic. S10 Presup</t>
  </si>
  <si>
    <t>Otros Soft. Comerciales (ZIPs, Adobe Acrobat, Calidad, Grabadores,  Antiviruus, etc)</t>
  </si>
  <si>
    <t>Servidor y Correo</t>
  </si>
  <si>
    <t>Participacion  Anual por proyecto</t>
  </si>
  <si>
    <t>Costo estimado (factor reposicion idem a Deprec. Eq. Informatico)</t>
  </si>
  <si>
    <t>(1)</t>
  </si>
  <si>
    <t>CAPACITACIÓN:</t>
  </si>
  <si>
    <t>Anulado capacitacion:</t>
  </si>
  <si>
    <t>Seminarios</t>
  </si>
  <si>
    <t>Cursos informáticos</t>
  </si>
  <si>
    <t>Cursos Tecnicos</t>
  </si>
  <si>
    <t>Cursos Profesionales</t>
  </si>
  <si>
    <t>Biblioteca</t>
  </si>
  <si>
    <t>Costo estimado por proyecto</t>
  </si>
  <si>
    <t>(2)</t>
  </si>
  <si>
    <t>COSTO ANUAL PARA UN PROYECTO</t>
  </si>
  <si>
    <t>(1+2)</t>
  </si>
  <si>
    <t>COSTO MENSUAL PARA UN PROYECTO</t>
  </si>
  <si>
    <t>del Total Honorarios</t>
  </si>
  <si>
    <t>Tipo de cambio Agosto 2017</t>
  </si>
  <si>
    <t>EN SOLES</t>
  </si>
  <si>
    <r>
      <t xml:space="preserve">Computadoras i5 </t>
    </r>
    <r>
      <rPr>
        <sz val="8"/>
        <color indexed="60"/>
        <rFont val="Arial Narrow"/>
        <family val="2"/>
      </rPr>
      <t>(Costo Venta Cliponet)</t>
    </r>
  </si>
  <si>
    <t>Antes 2000</t>
  </si>
  <si>
    <t>Impresoras</t>
  </si>
  <si>
    <t>Plotter</t>
  </si>
  <si>
    <t>Alquiler de equipos de computo PC i5</t>
  </si>
  <si>
    <t>Fotocopiadoras</t>
  </si>
  <si>
    <t>PUNTOCOM</t>
  </si>
  <si>
    <t>Servidores</t>
  </si>
  <si>
    <t>CLIPONET</t>
  </si>
  <si>
    <t>Parcial Equipos de Cómputo</t>
  </si>
  <si>
    <t>Mantenimiento:</t>
  </si>
  <si>
    <t>Parcial Equipos de Cómputo incl. Mantenimiento</t>
  </si>
  <si>
    <t>Depreciación Anual :30%</t>
  </si>
  <si>
    <t>Depreciación por Proyecto</t>
  </si>
  <si>
    <t>Depreciación  mensual</t>
  </si>
  <si>
    <t xml:space="preserve"> =&gt; 320 por mes</t>
  </si>
  <si>
    <t xml:space="preserve">COSTO PARA UN PROYECTO DE 3 MESES </t>
  </si>
  <si>
    <t>COSTO PARA UN PROYECTO DE 3 MESES</t>
  </si>
  <si>
    <t>UTILIDAD  (8.00%)</t>
  </si>
  <si>
    <t>OFICINA LOCAL PRINCIPAL DEL CONSULTOR (FACTOR= 20%).-</t>
  </si>
  <si>
    <t>GASTOS GENERALES ITEM II  (Personal directivo, profesional, tecnico y administrativo, gastos de oficina, equipamiento, movilidad, etc.)</t>
  </si>
  <si>
    <t>DETALLE DE LOS  GASTOS GENERALES ÍTEM I  SUPERVISIÓN DE LA OBRA  SISTEMA POR TARIFA DIARIA</t>
  </si>
  <si>
    <t>PERSONAL DE DIRECCIÓN PARA EJECUCIÓN DE LA OBRA:</t>
  </si>
  <si>
    <t>SUPERVISIÓN  DE OBRA: (ING. SANITARIO O ING. CIVIL)</t>
  </si>
  <si>
    <t>ESPECIALISTA EN OBRAS ELECTRICAS O ELECTROMECANICAS: (ING. ELECTROMECANICO O ING. MECANICO ELECTRICISTA O ING. ELECTRICISTA O ING. MECANICO ELECTRICO)</t>
  </si>
  <si>
    <t>ESPECIALISTA EN COSTO, PRESUPUESTOS, VALORIZACIONES Y PROGRAMACIÓN DE OBRAS: (ING. SANITARIO O ING. CIVIL O ING. MECANICO DE FLUIDOS)</t>
  </si>
  <si>
    <t>ESPECIALISTA EN ELECTRÓNICA, TELECOMUNICACIONES Y SCADA: (ING. ELECTRONICO O ING. TELECOMUNICACIONES O ING. MECATRONICO)</t>
  </si>
  <si>
    <t>TÉCNICO EN TOPOGRAFIA</t>
  </si>
  <si>
    <t>PERSONAL AUXILIAR DE TOPOGRAFIA</t>
  </si>
  <si>
    <t>DIBUJANTE  TÉCNICO PARA DESARROLLO DE PLANOS EN  AUTO CAD - GIS</t>
  </si>
  <si>
    <t xml:space="preserve">OFICINA PARA  EL PERSONAL PROFESIONAL Y TÉCNICO -  CAMPO </t>
  </si>
  <si>
    <t>MOBILIARIO OFICINA DE PERSONAL PROFESIONAL Y TÉCNICO -  CAMPO</t>
  </si>
  <si>
    <t>GASTOS DE ÚTILES DE OFICINA, HERRAMIENTAS, ETC</t>
  </si>
  <si>
    <t>VEHÍCULOS PARA USO DEL PERSONAL DE SEDAPAL: 01 CAMIONETA COORDINADOR DE OBRA (CAMIONETA 4 x 4 DOBLE CABINA OPERADA INCL. COMBUSTIBLE, LUB. Y OTROS COSTOS OPERACIONALES)</t>
  </si>
  <si>
    <t xml:space="preserve">VEHÍCULO PARA USO DEL PERSONAL PROFESIONAL Y TÉCNICO DE LA SUPERVISIÓN DE OBRA: 01 CAMIONETAS (CAMIONETA 4 x 4 DOBLE CABINA OPERADA INCL. COMBUSTIBLE, LUB. Y OTROS COSTOS OPERACIONALES) </t>
  </si>
  <si>
    <t>EQUIPO DE COMUNICACIÓN (TELEFONÍA MÓVIL)</t>
  </si>
  <si>
    <t>EQUIPO DE TOPOGRAFÍA  (ESTACIÓN TOTAL;  PRESIC. DISTANCIA  2,0 mm + 2 ppm Y ANGULAR &lt; 5" INCL. PRISMA Y ACCESORIOS)</t>
  </si>
  <si>
    <t>NIVEL DIGITAL,  CON PRECISIÓN ± 3 mm POR Km.</t>
  </si>
  <si>
    <t xml:space="preserve">RECEPTOR GPS GEODÉSICO - GNSS, (parámetros DATUM Geodésico: WGS84) </t>
  </si>
  <si>
    <t>ELABORACION DEL PLAN PARA LA VIGILANCIA, PREVENCIÓN Y CONTROL DE COVID-19 EN EL TRABAJO</t>
  </si>
  <si>
    <t>Glb.</t>
  </si>
  <si>
    <t>LIMPIEZA Y DESINFECCION DE LOS CENTROS DE TRABAJO</t>
  </si>
  <si>
    <t>EVALUACION DE LA CONDICION DE SALUD DEL TRABAJADOR PREVIO AL INGRESO O REINCORPORACION AL CENTRO DE TRABAJO</t>
  </si>
  <si>
    <t>LAVADO Y DESINFECCION DE MANOS OBLIGATORIO</t>
  </si>
  <si>
    <t>SENSIBILIZACION DE LA PREVENCION DEL CONTAGIO EN EL CENTRO DE TRABAJO</t>
  </si>
  <si>
    <t>MEDIDAS PREVENTIVAS DE APLICACION COLECTIVA</t>
  </si>
  <si>
    <t>MEDIDAS DE PROTECCION PERSONAL</t>
  </si>
  <si>
    <t>VIGILANCIA DE LA SALUD DEL TRABAJADOR EN EL CONTEXTO DEL COVID-19</t>
  </si>
  <si>
    <t>ELABORACIÓN, IMPLEMENTACIÓN Y EJECUCIÓN DEL PLAN DE VIGILANCIA, PREVENCIÓN Y CONTROL DEL COVID-19 PARA PERSONAL DE LA SUPERVISION DE OBRA</t>
  </si>
  <si>
    <t>SUSTENTO DE MATERIALES ETAPA EJECUCION DE OBRA</t>
  </si>
  <si>
    <t>obra:</t>
  </si>
  <si>
    <t>DESCRIPCION</t>
  </si>
  <si>
    <t xml:space="preserve">MATERIAL PARA EL LAVADO Y DESINFECCION DE LOS TRABAJADORES </t>
  </si>
  <si>
    <t>ADMINISTRACIÓN EN OBRA - DIURNO</t>
  </si>
  <si>
    <t>Cantidad</t>
  </si>
  <si>
    <t>Jornada</t>
  </si>
  <si>
    <t>Tiempo</t>
  </si>
  <si>
    <t>Mascarilla quirurgica (50 unds)</t>
  </si>
  <si>
    <t>Mascarilla de tela</t>
  </si>
  <si>
    <t>Mascarilla N95/KN95/FFP3  (caja 50 unds)</t>
  </si>
  <si>
    <t>Careta facial</t>
  </si>
  <si>
    <t>Guantes nitrilo</t>
  </si>
  <si>
    <t>Guantes latex</t>
  </si>
  <si>
    <t>Traje tryvek</t>
  </si>
  <si>
    <t>Batas o mandil</t>
  </si>
  <si>
    <t>Alcohol etilico, envase 1 galon</t>
  </si>
  <si>
    <t>Alcohol isopropilico, envase 1 galon</t>
  </si>
  <si>
    <t>Alcohol en gel al 70% , envase 1 litro</t>
  </si>
  <si>
    <t>Alcohol en gel al 70% , envase 400ml</t>
  </si>
  <si>
    <t>Jabon liquido, envase 1 galon</t>
  </si>
  <si>
    <t>Papel higienico por rollos 40 unds</t>
  </si>
  <si>
    <t xml:space="preserve">Papel toalla x200hojas </t>
  </si>
  <si>
    <t>ADMINISTRACIÓN EN OFICINA (GASTOS GENERALES)</t>
  </si>
  <si>
    <t>PERSONAL MEDICO</t>
  </si>
  <si>
    <t>Medico</t>
  </si>
  <si>
    <t>Enfermera</t>
  </si>
  <si>
    <t>Profesional de la Salud  (12 horas semanal)</t>
  </si>
  <si>
    <t>PERSONAL DE LIMPIEZA</t>
  </si>
  <si>
    <t>Personal de limpieza 1</t>
  </si>
  <si>
    <t>CANTIDAD POR MES</t>
  </si>
  <si>
    <t>CANTIDAD  (PERSONAL DE BAJO O MEDIO RIESGO)</t>
  </si>
  <si>
    <t>CANTIDAD  (PERSONAL DE ALTO RIESGO)</t>
  </si>
  <si>
    <t xml:space="preserve"> </t>
  </si>
  <si>
    <t>Mes</t>
  </si>
  <si>
    <t>soles/dia</t>
  </si>
  <si>
    <t>Medico Ocupacional</t>
  </si>
  <si>
    <t>Enfermero</t>
  </si>
  <si>
    <t>Ing. De Seguridad</t>
  </si>
  <si>
    <t>Prevencionista</t>
  </si>
  <si>
    <t>Supervisor de seguridad</t>
  </si>
  <si>
    <t>ACTUALIZADO</t>
  </si>
  <si>
    <t>Medico enfermero Limpieza</t>
  </si>
  <si>
    <t>Total Trabajadores: obra, administrativos, estudios complementarios</t>
  </si>
  <si>
    <t>Tipo 4: Enfermera 18 horas</t>
  </si>
  <si>
    <t>Frentes de trabajo</t>
  </si>
  <si>
    <t>Plazo en meses</t>
  </si>
  <si>
    <t>Plazo en dias</t>
  </si>
  <si>
    <t>Num Campamento</t>
  </si>
  <si>
    <t>m2</t>
  </si>
  <si>
    <t>Numero de maquinaria aprox.</t>
  </si>
  <si>
    <t>Oficina</t>
  </si>
  <si>
    <t>Almacen</t>
  </si>
  <si>
    <t>SSHH</t>
  </si>
  <si>
    <t>Comedor</t>
  </si>
  <si>
    <t>Vigilancia</t>
  </si>
  <si>
    <t>Area por cabina de maquinaria</t>
  </si>
  <si>
    <t>Numero de camionetas</t>
  </si>
  <si>
    <t>Volumen por pulsacion</t>
  </si>
  <si>
    <t>ml</t>
  </si>
  <si>
    <t>Una desinfeccion de manos 3 pulsaciones</t>
  </si>
  <si>
    <t xml:space="preserve">Una desinfeccion completa 6 pulsaciones </t>
  </si>
  <si>
    <t>Cada 02 horas</t>
  </si>
  <si>
    <t>Jornada 8 horas</t>
  </si>
  <si>
    <t>Papel Toalla x trabajador</t>
  </si>
  <si>
    <t>Papel Toalla x trabajador Dia: 4 veces</t>
  </si>
  <si>
    <t>PRESUPUESTO DE LA PARTIDA:  ELABORACIÓN, IMPLEMENTACIÓN Y EJECUCIÓN DEL PLAN DE VIGILANCIA, PREVENCIÓN Y CONTROL DEL COVID-19 PARA PERSONAL DE LA OBRA (INCLUYE PROTOCOLOS)</t>
  </si>
  <si>
    <t>Criterio</t>
  </si>
  <si>
    <t>Metrado</t>
  </si>
  <si>
    <t>N° usos por todo el proyecto</t>
  </si>
  <si>
    <t>Precio 
S/.</t>
  </si>
  <si>
    <t>Parcial 
S/.</t>
  </si>
  <si>
    <t>Sub Total
S/</t>
  </si>
  <si>
    <t>Elaboración e implementación del Plan para la Vigilancia, Prevención y Control del COVID-19 para la Obra y Servicios; Incluye triaje de ingreso del personal para la obra</t>
  </si>
  <si>
    <t>Glb</t>
  </si>
  <si>
    <t xml:space="preserve">Elaboración e implementación del Plan para la Vigilancia, Prevención y Control del COVID-19 para la Obra y Servicios </t>
  </si>
  <si>
    <t>Evaluación médica de los trabajadores por médico ocupacional - Triaje y llenado de Fichas e InformeTriaje</t>
  </si>
  <si>
    <t>dia</t>
  </si>
  <si>
    <t>16 triajes al dia</t>
  </si>
  <si>
    <t>Lineamiento 1</t>
  </si>
  <si>
    <t>Limpieza y desinfección diaria con personal permanente, Fumigación certificada mensual de los locales del campamento y oficinas; y eliminación del material de bio seguridad (peligroso)</t>
  </si>
  <si>
    <t>Personal de mantenimiento de limpieza y desinfección diaria de locales - Oficinas, etc. Incl. Leyes Sociales</t>
  </si>
  <si>
    <t>Servicio de desinfección - fumigación certificada de ambientes de oficinas en obra, almacenes, parqueos, SSHH, y otros locales - Servicio 1 vez por mes</t>
  </si>
  <si>
    <t xml:space="preserve">www.exitmaxsac.com </t>
  </si>
  <si>
    <t>Servicio de desinfección - fumigación certificada de maquinarias pesadas, y vehículos - Servicio 1 vez por mes</t>
  </si>
  <si>
    <t>INVEMSAC</t>
  </si>
  <si>
    <t>Lineamiento 2</t>
  </si>
  <si>
    <t>Equipos para la evaluación y control de los trabajadores, durante la ejecución de la obra</t>
  </si>
  <si>
    <t>Termómetro infrarojo digital, para control de temperatura corporal</t>
  </si>
  <si>
    <t>Und</t>
  </si>
  <si>
    <t>Antes S/ 200</t>
  </si>
  <si>
    <t>Líder reajusta precios en fines de octubre 2020</t>
  </si>
  <si>
    <t>Pulsómetro, pulsioxímetro, oxímetro o saturómetro</t>
  </si>
  <si>
    <t>Antes S/ 180</t>
  </si>
  <si>
    <t>Líder reajusta precios en fines de octubre 2021</t>
  </si>
  <si>
    <t>Gastos Materiales y Administrativos (Plan -COVID-19): documentos para fichas, informes, recetario, triaje, otros</t>
  </si>
  <si>
    <t>Estim.</t>
  </si>
  <si>
    <t>Lineamiento 3: Lavado de manos</t>
  </si>
  <si>
    <t>Materiales para el lavado y desinfección del personal, locales de campamentos - oficinas, Maquinarias, vehículos y equipos, durante ejecucion de obra</t>
  </si>
  <si>
    <t>Alcohol  medicinal al 70% (envase de 1 galon)</t>
  </si>
  <si>
    <t>Antes S/ 60.56</t>
  </si>
  <si>
    <t>1 litro al 70% Medic =</t>
  </si>
  <si>
    <t xml:space="preserve"> =&gt; </t>
  </si>
  <si>
    <t>1 galón=</t>
  </si>
  <si>
    <t>Alcohol isopropílico (envase de 1 galon)</t>
  </si>
  <si>
    <t>Alcohol en gel al 70% (envase de 1 galon)</t>
  </si>
  <si>
    <t>Antes S/ 59.24</t>
  </si>
  <si>
    <t>Líder</t>
  </si>
  <si>
    <t>Alcohol en gel al 70% ( envase de 400 ml)</t>
  </si>
  <si>
    <t>Antes 9.75</t>
  </si>
  <si>
    <t>Jabón líquido, (envase de 1 Galón)</t>
  </si>
  <si>
    <t>Papel higiénico: Paquete de rollos x 40 und, doble hoja (cada rollo de aprox. 20m x 90mm)</t>
  </si>
  <si>
    <t>Papel toalla x 200 hojas blanco; interfoliado</t>
  </si>
  <si>
    <t>Antes S/ 7.90</t>
  </si>
  <si>
    <t>Tachos rojos para basura biodegradable (120  - 170 litros)</t>
  </si>
  <si>
    <t>Antes S/ 220</t>
  </si>
  <si>
    <t>Tachos rojos para basura - restos de comida (120 - 170  litros)</t>
  </si>
  <si>
    <t>Antes S/ 221</t>
  </si>
  <si>
    <t>Bolsas rojas de polietileno para basura biodegradable (124 - 140  litros)</t>
  </si>
  <si>
    <t>Bolsas negras de polietileno para basura - restos de comidas (124 - 140  litros)</t>
  </si>
  <si>
    <t>Pediluvio - bandeja 0.40x0.50m, h= 3cm, de acero inox. 304 e= 1 mm; con tapete alto tránsito 3M para desinfeccion de zapatos</t>
  </si>
  <si>
    <t xml:space="preserve">Antes S/ 100 bandeja de 0.40*0.60m  PVC con tapete </t>
  </si>
  <si>
    <t>Hipoclorito de sodio - lejía, al 5% (envase de 1 galon)</t>
  </si>
  <si>
    <t>galon</t>
  </si>
  <si>
    <t>Antes 9.80</t>
  </si>
  <si>
    <t>Lineamiento 4</t>
  </si>
  <si>
    <t>Materiales y servicios para difusión y sensibilización de la prevención del contagio en el Centro de Trabajo (Incl. vehículos)</t>
  </si>
  <si>
    <t>Folletería, impresiones a color A4 (paquete de 1 millar)</t>
  </si>
  <si>
    <t>Trípticos, impresiones a color A4 (paquete de 1 millar)</t>
  </si>
  <si>
    <t>Sticker autoadhesivo de 20x15 - laminado (A5)</t>
  </si>
  <si>
    <t>Lineamiento 5: Colectivas</t>
  </si>
  <si>
    <t>Medidas de protección colectiva para todo el personal de la Obra, durante la ejecución de la obra</t>
  </si>
  <si>
    <t>Lavadero de mano portátil, en alquiler por mes, incluye servicio de limpieza 2 veces por semana: 05 lavaderos x 7 meses</t>
  </si>
  <si>
    <t>Barreras físicas (pantallas acrilicas en oficinas, almacenes - valor estimado)</t>
  </si>
  <si>
    <t>Barreras físicas en camionetas (pantallas acrílicas "T"), por vehículo</t>
  </si>
  <si>
    <t>Botiquín primeros auxilios Implementación y mantenimiento</t>
  </si>
  <si>
    <t>Lineamiento 6</t>
  </si>
  <si>
    <t>Medidas de protección personal para todo el personal de la Obra (Riesgo bajo o medio), Incl. de Servicios Complementarios durante la ejecución de la obra</t>
  </si>
  <si>
    <t>Caja x 50 und</t>
  </si>
  <si>
    <t>Mascarilla Quirúrgica Tres Pliegues (caja 50 unds)</t>
  </si>
  <si>
    <t>Antes S/ 50.00</t>
  </si>
  <si>
    <t>World Safety</t>
  </si>
  <si>
    <t>Lider= S/ 0.76</t>
  </si>
  <si>
    <t xml:space="preserve">Mascarilla comunitaria lavable, de tela reusable especificación MINSA </t>
  </si>
  <si>
    <t>Antes S/ 2.50</t>
  </si>
  <si>
    <t>Careta protector facial de policarbonato para usar como casco</t>
  </si>
  <si>
    <t>Antes S/ 18.00</t>
  </si>
  <si>
    <t>Guantes de nitrilo (Par)</t>
  </si>
  <si>
    <t>Antes S/ 1.10</t>
  </si>
  <si>
    <t>Líder costo por par</t>
  </si>
  <si>
    <t>Medidas de protección personal para todo el personal de la Obra (Riesgo alto), Incl. de Servicios Complementarios, durante la ejecución de la obra</t>
  </si>
  <si>
    <t>Mascarilla N95/KN95/FFP3 (caja 50 unds)</t>
  </si>
  <si>
    <t>Antes S/ 318 caja x 50</t>
  </si>
  <si>
    <t>Mascarilla de tela reusable para transporte en vehículos (2 mascarillas cada 3 meses por trabajador )</t>
  </si>
  <si>
    <t>Sin IGV</t>
  </si>
  <si>
    <t>16.07.2020</t>
  </si>
  <si>
    <t>Lider= S/ 55.00 caja x 100 und o 50 pares</t>
  </si>
  <si>
    <t>Guantes de latex (Par)</t>
  </si>
  <si>
    <t>Antes 0.90</t>
  </si>
  <si>
    <t>Lider= S/ 53.00 caja x 100 und o 50 pares</t>
  </si>
  <si>
    <t>Traje de protección biológica  tyvek. (1 traje por mes cada trabajador)</t>
  </si>
  <si>
    <t>Batas o Mandil descartables.</t>
  </si>
  <si>
    <t>Antes S/ 1.50</t>
  </si>
  <si>
    <t>Lineamiento 7</t>
  </si>
  <si>
    <t xml:space="preserve">Personal responsable de la salud, responsable de la implementación y control permanente del Plan Covid-19, en Obras </t>
  </si>
  <si>
    <t>Medico ocupacional a tiempo parcial (18 horas semanal), costo por mes</t>
  </si>
  <si>
    <t>No requerido;. El Servicio considera menos a 50 trabajadores</t>
  </si>
  <si>
    <t>Enfermero en Apoyo al Médico Ocupacional - Triaje - Llenado de Fichas e Informe (18 horas semanal)</t>
  </si>
  <si>
    <t>Profesional de la Salud: Control- Triaje - Llenado de Fichas e Informe (12 horas semanal)</t>
  </si>
  <si>
    <t>Pruebas serológicas rápidas, de descarte del COVID-19 para personal de obra</t>
  </si>
  <si>
    <t>Pruebas serológicas para evaluar anticuerpos por el  COVID-19</t>
  </si>
  <si>
    <t>Antes 100.65</t>
  </si>
  <si>
    <t>COSTO TOTAL</t>
  </si>
  <si>
    <t>Oficina, parqueos (01 vez por mes) - 120 oficina , 200 m2 parqueo</t>
  </si>
  <si>
    <t>Plazo de Supervision de Obra - Pruebas de Sistema de Comunicación y Sacada:</t>
  </si>
  <si>
    <t xml:space="preserve">Plazo de Supervision de Obra e Intervencion Social </t>
  </si>
  <si>
    <t>SUELDOS Y SALARIOS  DEL PERSONAL PROFESIONAL Y TÉCNICO (Incluye Leyes Sociales)</t>
  </si>
  <si>
    <t>PARCIAL 1.3 COSTO COVID-19</t>
  </si>
  <si>
    <t>SUPERVISIÓN DE LA EJECUCIÓN DE LA OBRA, INTERVENCIÓN SOCIAL Y SERVICIOS COMPLEMENTARIOS - INCL COSTOS COVID-19</t>
  </si>
  <si>
    <t>PARCIAL 1.  SUPERVISIÓN DE LA EJECUCIÓN DE LA OBRA, INTERVENCIÓN SOCIAL Y SERVICIOS COMPLEMENTARIOS - INCL COSTOS COVID-19</t>
  </si>
  <si>
    <t>SUPERVISIÓN DE PRUEBAS Y CONFIGURACION DEL SISTEMA AUTOMATIZACION E INTEGRACION AL SCADA DE SEDAPAL - INCL COSTOS COVID-19</t>
  </si>
  <si>
    <t>ALQUILERES Y SERVICIOS A EMPLEAR DURANTE PRUEBAS Y CONFIGURACION.</t>
  </si>
  <si>
    <t>ELABORACIÓN, IMPLEMENTACIÓN Y EJECUCIÓN DEL PLAN DE VIGILANCIA, PREVENCIÓN Y CONTROL DEL COVID-19 PARA PERSONAL DE LA SUPERVISION DE PRUEBAS Y CONFIGURACION</t>
  </si>
  <si>
    <t>PARCIAL 2.  SUPERVISIÓN DE PRUEBAS Y CONFIGURACION DEL SISTEMA AUTOMATIZACION E INTEGRACION AL SCADA DE SEDAPAL - INCL COSTOS COVID-19</t>
  </si>
  <si>
    <t>PERSONAL PROFESIONAL Y TÉCNICO DE SUPERVISIÓN DURANTE LA RECEPCION DE LA OBRA (Incluye Leyes Sociales)</t>
  </si>
  <si>
    <t xml:space="preserve">SCRT PERSONAL DE LIQUIDACION 2.4% </t>
  </si>
  <si>
    <t>LOCAL OFICINA TECNICA - MOBILIARIO DE CAMPO PARA LA RECEPCION DE LA OBRA</t>
  </si>
  <si>
    <t>MOVILIDAD Y EQUIPOS DE CAMPO PARA LA RECEPCION DE LA OBRA</t>
  </si>
  <si>
    <t>ELABORACION, IMPLEMENTACIÓN DEL "PLAN PARA LA VIGILANCIA, PREVENCION Y CONTROL DE COVID-19 EN EL TRABAJO" - RECEPCION DE OBRA</t>
  </si>
  <si>
    <t>ELABORACION, IMPLEMENTACIÓN DEL "PLAN PARA LA VIGILANCIA, PREVENCION Y CONTROL DE COVID-19 EN EL TRABAJO"  (INCLUYE EVALUACIÓN DE TRABAJADORES) RECEPCION DE OBRA</t>
  </si>
  <si>
    <t>ELABORACION, IMPLEMENTACIÓN DEL "PLAN PARA LA VIGILANCIA, PREVENCION Y CONTROL DE COVID-19 EN EL TRABAJO"  (INCLUYE EVALUACIÓN DE TRABAJADORES) - PRUEBAS</t>
  </si>
  <si>
    <t>ELABORACION, IMPLEMENTACIÓN DEL "PLAN PARA LA VIGILANCIA, PREVENCION Y CONTROL DE COVID-19 EN EL TRABAJO"  (INCLUYE EVALUACIÓN DE TRABAJADORES) OBRA</t>
  </si>
  <si>
    <t>PARCIAL 2.3 COSTO COVID-19</t>
  </si>
  <si>
    <t>PARCIAL 2.2  ALQUILERES Y SERVICIOS</t>
  </si>
  <si>
    <t>PARCIAL 2.1  SUELDOS Y SALARIOS DEL PERSONAL PROFESIONAL Y TÉCNICO:</t>
  </si>
  <si>
    <t xml:space="preserve">    Fecha de Precios: 31.12.2020</t>
  </si>
  <si>
    <t>SUB TOTAL ÍTEM 1</t>
  </si>
  <si>
    <t xml:space="preserve">TOTAL VALOR REFERENCIAL PRESUPUESTO ÍTEM 1 </t>
  </si>
  <si>
    <t xml:space="preserve">SUB-TOTAL 1.-  COSTOS DE SUPERVISION  DE EJECUCIÓN DE LA OBRA </t>
  </si>
  <si>
    <t>SUB-TOTAL 1.-  COSTOS DE SUPERVISION  DE EJECUCIÓN DE LA OBRA - PRUEBAS</t>
  </si>
  <si>
    <t>PERSONAL PROFESIONAL Y TECNICO PARA LIQUIDACIÓN DE LA OBRA LIQUIDACIÓN DE LA OBRA (Incl. Materiales, seguros, costo COVID-19 y otros)</t>
  </si>
  <si>
    <r>
      <rPr>
        <b/>
        <u/>
        <sz val="10"/>
        <rFont val="Arial Narrow"/>
        <family val="2"/>
      </rPr>
      <t>RESUMEN  SUB TOTAL PRESUPUESTO I.1</t>
    </r>
    <r>
      <rPr>
        <b/>
        <sz val="10"/>
        <rFont val="Arial Narrow"/>
        <family val="2"/>
      </rPr>
      <t>:  SUPERVISIÓN DE OBRA, INTERVENCIÓN SOCIAL Y SERVICIOS COMPLEMENTARIOS - INCL COSTOS COVID-19
SISTEMA DE CONTRATACIÓN POR TARIFAS DIARIAS</t>
    </r>
  </si>
  <si>
    <r>
      <rPr>
        <b/>
        <u/>
        <sz val="10"/>
        <rFont val="Arial Narrow"/>
        <family val="2"/>
      </rPr>
      <t>RESUMEN  SUB TOTAL PRESUPUESTO I.2</t>
    </r>
    <r>
      <rPr>
        <b/>
        <sz val="10"/>
        <rFont val="Arial Narrow"/>
        <family val="2"/>
      </rPr>
      <t>:  SUPERVISIÓN DE PRUEBAS Y CONFIGURACION DEL SISTEMA AUTOMATIZACION E INTEGRACION AL SCADA DE SEDAPAL - INCL COSTOS COVID-19
SISTEMA DE CONTRATACIÓN POR TARIFAS DIARIAS</t>
    </r>
  </si>
  <si>
    <t>I.1</t>
  </si>
  <si>
    <t>I.2</t>
  </si>
  <si>
    <t>I.3</t>
  </si>
  <si>
    <r>
      <rPr>
        <b/>
        <u/>
        <sz val="10"/>
        <rFont val="Arial Narrow"/>
        <family val="2"/>
      </rPr>
      <t>RESUMEN  SUB TOTAL PRESUPUESTO I.3</t>
    </r>
    <r>
      <rPr>
        <b/>
        <sz val="10"/>
        <rFont val="Arial Narrow"/>
        <family val="2"/>
      </rPr>
      <t>:  SUPERVISIÓN DE RECEPCION DE OBRA - INCL COSTOS COVID-19
SISTEMA DE CONTRATACIÓN POR TARIFAS DIARIAS</t>
    </r>
  </si>
  <si>
    <r>
      <rPr>
        <b/>
        <u/>
        <sz val="11"/>
        <rFont val="Arial Narrow"/>
        <family val="2"/>
      </rPr>
      <t>SUB PRESUPUESTO ÍTEM I:</t>
    </r>
    <r>
      <rPr>
        <b/>
        <sz val="11"/>
        <rFont val="Arial Narrow"/>
        <family val="2"/>
      </rPr>
      <t xml:space="preserve">  
SUPERVISIÓN DE OBRA, PRUEBAS DE COMUNICACIÓN Y SCADA Y RECEPCIÓN DE LA OBRA (Inc. Costos COVID-19) - SISTEMA DE CONTRATACIÓN POR TARIFAS DIARIAS</t>
    </r>
  </si>
  <si>
    <r>
      <rPr>
        <b/>
        <u/>
        <sz val="11"/>
        <rFont val="Arial Narrow"/>
        <family val="2"/>
      </rPr>
      <t>SUB PRESUPUESTO ÍTEM II</t>
    </r>
    <r>
      <rPr>
        <b/>
        <sz val="11"/>
        <rFont val="Arial Narrow"/>
        <family val="2"/>
      </rPr>
      <t>:  
SUPERVISION DE LIQUIDACIÓN DE LA OBRA (inc. Costos COVID-19)  - SISTEMA DE CONTRATACIÓN A SUMA ALZADA</t>
    </r>
  </si>
  <si>
    <t>SCRT PERSONAL DE LIQUIDACION DE OBRA</t>
  </si>
  <si>
    <t>ELABORACION, IMPLEMENTACIÓN DEL "PLAN PARA LA VIGILANCIA, PREVENCION Y CONTROL DE COVID-19 EN EL TRABAJO" - LIQUIDACION DE OBRA</t>
  </si>
  <si>
    <t>LOCAL OFICINA TECNICA - MOBILIARIO PARA LA LIQUIDACION DE OBRA</t>
  </si>
  <si>
    <t>MOVILIDAD Y EQUIPOS PARA LA LIQUIDACION  DE LA OBRA</t>
  </si>
  <si>
    <r>
      <t xml:space="preserve">SUPERVISIÓN DE LA EJECUCIÓN DE LA OBRA, INTERVENCIÓN SOCIAL Y SERVICIOS COMPLEMENTARIOS - INCL COSTOS COVID-19
</t>
    </r>
    <r>
      <rPr>
        <u/>
        <sz val="10"/>
        <rFont val="Arial Narrow"/>
        <family val="2"/>
      </rPr>
      <t>SISTEMA DE CONTRATACIÓN POR TARIFA DIARIA</t>
    </r>
  </si>
  <si>
    <r>
      <t xml:space="preserve">SUPERVISIÓN DE PRUEBAS Y CONFIGURACION DEL SISTEMA AUTOMATIZACION E INTEGRACION AL SCADA DE SEDAPAL - INCL COSTOS COVID-19
</t>
    </r>
    <r>
      <rPr>
        <u/>
        <sz val="10"/>
        <rFont val="Arial Narrow"/>
        <family val="2"/>
      </rPr>
      <t>SISTEMA DE CONTRATACIÓN POR TARIFA DIARIA</t>
    </r>
  </si>
  <si>
    <t>SUPERVISION DE RECEPCIÓN DE OBRA - INCL COSTOS COVID-19</t>
  </si>
  <si>
    <t>PARCIAL 3,  SUPERVISION DE RECEPCIÓN DE OBRA - INCL COSTOS COVID-19:</t>
  </si>
  <si>
    <r>
      <t xml:space="preserve">SUPERVISION DE RECEPCIÓN DE OBRA - INCL COSTOS COVID-19
</t>
    </r>
    <r>
      <rPr>
        <u/>
        <sz val="10"/>
        <rFont val="Arial Narrow"/>
        <family val="2"/>
      </rPr>
      <t>SISTEMA DE CONTRATACIÓN POR TARIFA DIARIA</t>
    </r>
  </si>
  <si>
    <r>
      <t xml:space="preserve">SUPERVISION DE LIQUIDACIÓN DE LA OBRA (inc. Costos COVID-19) 
</t>
    </r>
    <r>
      <rPr>
        <u/>
        <sz val="10"/>
        <rFont val="Arial Narrow"/>
        <family val="2"/>
      </rPr>
      <t>SISTEMA DE CONTRATACIÓN A SUMA ALZADA</t>
    </r>
  </si>
  <si>
    <r>
      <rPr>
        <b/>
        <u/>
        <sz val="11"/>
        <rFont val="Arial Narrow"/>
        <family val="2"/>
      </rPr>
      <t>SERVICIO DE CONSULTORÍA DE OBRA PARA LA SUPERVISIÓN DE LAS OBRAS DEL PROYECTO</t>
    </r>
    <r>
      <rPr>
        <b/>
        <sz val="11"/>
        <rFont val="Arial Narrow"/>
        <family val="2"/>
      </rPr>
      <t xml:space="preserve">
"OBRAS REMANENTES Y COMPLEMENTARIAS: AMPLIACIÓN Y MEJORAMIENTO DE LOS SISTEMAS DE AGUA POTABLE Y ALCANTARILLADO DEL ESQUEMA SANTA MARÍA DE HUACHIPA, DISTRITO DE LURIGANCHO - CHOSICA”</t>
    </r>
  </si>
  <si>
    <t>ESTRUCTURA DE PRESUPUESTO ESTIMADO DE SUPERVISIÓN DE LA OBRA E INTERVENCION SOCIAL</t>
  </si>
  <si>
    <t>PERSONAL PROFESIONAL  (CLAVE)</t>
  </si>
  <si>
    <t>SUPERVISOR  DE OBRAS (Ing. Civil o Ing. Sanitario)</t>
  </si>
  <si>
    <t>ESPECIALISTA EN CALIDAD (Ing. Civil o Ing. Sanitario)</t>
  </si>
  <si>
    <t>ESPECIALISTA AMBIENTAL (Ing. Ambiental o Ing. Ambiental y de Recursos Naturales o Ing. de Recursos Naturales y de Energía Renovable o Ing. Sanitario o Ing. Civil o Ing. Mecánica de Fluidos)</t>
  </si>
  <si>
    <t>ESPECIALISTA EN SEGURIDAD EN OBRA Y SALUD OCUPACIONAL (Ing. de Higiene y Seguridad Industrial o Ing. Sanitario o Ing. Civil)</t>
  </si>
  <si>
    <t>ESPECIALISTA EN OBRAS ELÉCTRICAS O ELECTROMECÁNICAS (Ing. Electromecánico o Ing. Mecánico Electrisista o Ing. Electricista o Ing. Mecánico Eléctrico)</t>
  </si>
  <si>
    <t>PERSONAL PROFESIONAL  (NO CLAVE)</t>
  </si>
  <si>
    <t>ESPECIALISTA EN ESTRUCTURAS (Ing. Civil).</t>
  </si>
  <si>
    <t>ESPECIALISTA  EN MECÁNICA DE SUELOS (Ing. Civil)</t>
  </si>
  <si>
    <t>ESPECIALISTA HIDROGEÓLOGO (Ing Geólogo o Civil o de Mecánica de Fluidos o Agrícola)</t>
  </si>
  <si>
    <t>ESPECIALISTA EN PRESUPUESTOS, PROGRAMACIÓN Y VALORIZACIONES (Ing. Sanitario o Ing Civil o Mecánica de Fluidos)</t>
  </si>
  <si>
    <t>ESPECIALISTA EN TRANSITO (Ing. de Transportes o Ing. Civil)</t>
  </si>
  <si>
    <t>ESPECIALISTA DE SISTEMA DE AUTOMATIZACIÓN – SISTEMA SCADA (Ing. Electrónico o Ing. Telecomunicaciones o Ing. Mecatrónica)</t>
  </si>
  <si>
    <t>ESPECIALISTA EN INTERVENCION SOCIAL (Licenciado en Sociologia, Trabajo Social, Comunicación, Antropología, Psicología o Educación)</t>
  </si>
  <si>
    <t>ASISTENTE DE SUPERVISOR (Ing. Civil o Ing. Sanitario)</t>
  </si>
  <si>
    <t>PERSONAL AUXILIAR DE TOPOGRAFIA  (Ayudante de trabajo de campo)</t>
  </si>
  <si>
    <t>TECNICOS DE INGENIERÍA, INSPECTORES DE CAMPO Y DE INFORMACION DE CARTOLOGIA</t>
  </si>
  <si>
    <t>TOPOGRAFO TÉCNICO  (INCL: TRABAJO DE CAMPO Y DE GABINETE)</t>
  </si>
  <si>
    <t>Para personal de supervision de obra…</t>
  </si>
  <si>
    <t>Mecanica de estudios de suelos</t>
  </si>
  <si>
    <t>tranquera</t>
  </si>
  <si>
    <t>conos</t>
  </si>
  <si>
    <t>Topografia</t>
  </si>
  <si>
    <t>tranquetas</t>
  </si>
  <si>
    <t>arnes, escaleras, sogas, etc</t>
  </si>
  <si>
    <t>otros</t>
  </si>
  <si>
    <t>cintas, mallas</t>
  </si>
  <si>
    <t>MATERIALES DE USO GENERAL - SERVICIO DE SUPERVISIÓN DE LA OBRA :</t>
  </si>
  <si>
    <t>Disco Duro de almacenamiento portátil (externo) de 1TB, USB 3.0&amp;2.0,  
A SER ENTREGADO AL EQUIPO DE OBRAS DE SEDAPAL</t>
  </si>
  <si>
    <t>SERVICIO DE CONSULTORÍA DE OBRA PARA LA SUPERVISIÓN DE LAS OBRAS DEL PROYECTO
"OBRAS REMANENTES Y COMPLEMENTARIAS: AMPLIACIÓN Y MEJORAMIENTO DE LOS SISTEMAS DE AGUA POTABLE Y ALCANTARILLADO DEL ESQUEMA SANTA MARÍA DE HUACHIPA, DISTRITO DE LURIGANCHO - CHOSICA”</t>
  </si>
  <si>
    <t>GASTOS GENERALES  (11.98%)  
( Personal Adm, Oficinas Principal, Mobiliario, Servicios, Plan de Seguridad y Salud Ocupacional, SCTR, Uniformes, Exámenes Médicos,  Agua Potable, . PCs., etc)</t>
  </si>
  <si>
    <t>PRESUPUESTO DE LA PARTIDA:  ELABORACIÓN, IMPLEMENTACIÓN Y EJECUCIÓN DEL PLAN DE VIGILANCIA, PREVENCIÓN Y CONTROL DEL COVID-19 PARA PERSONAL DE LA OBRA - PRUEBAS (INCLUYE PROTOCOLOS)</t>
  </si>
  <si>
    <t>PRESUPUESTO DE LA PARTIDA:  ELABORACIÓN, IMPLEMENTACIÓN Y EJECUCIÓN DEL PLAN DE VIGILANCIA, PREVENCIÓN Y CONTROL DEL COVID-19 PARA LA RECEPCION DE LA OBRA (INCLUYE PROTOCOLOS)</t>
  </si>
  <si>
    <t>PRESUPUESTO DE LA PARTIDA:  ELABORACIÓN, IMPLEMENTACIÓN Y EJECUCIÓN DEL PLAN DE VIGILANCIA, PREVENCIÓN Y CONTROL DEL COVID-19 PARA PERSONAL DE LA LIQUIDACION DE OBRA (INCLUYE PROTOCOLOS)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</si>
</sst>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.00_ ;_ * \-#,##0.00_ ;_ * &quot;-&quot;??_ ;_ @_ "/>
    <numFmt numFmtId="165" formatCode="_(* #,##0.00_);_(* \(#,##0.00\);_(* &quot;-&quot;??_);_(@_)"/>
    <numFmt numFmtId="166" formatCode="#.00"/>
    <numFmt numFmtId="167" formatCode="_([$€-2]\ * #,##0.00_);_([$€-2]\ * \(#,##0.00\);_([$€-2]\ * &quot;-&quot;??_)"/>
    <numFmt numFmtId="168" formatCode="_-* #,##0.00\ _S_/_-;\-* #,##0.00\ _S_/_-;_-* &quot;-&quot;??\ _S_/_-;_-@_-"/>
    <numFmt numFmtId="169" formatCode="#,##0.00000"/>
    <numFmt numFmtId="170" formatCode="0.0"/>
    <numFmt numFmtId="171" formatCode="0.000000%"/>
    <numFmt numFmtId="172" formatCode="_ * #,##0.000_ ;_ * \-#,##0.000_ ;_ * &quot;-&quot;??_ ;_ @_ "/>
    <numFmt numFmtId="173" formatCode="0.000000000"/>
    <numFmt numFmtId="174" formatCode="_-* #,##0.00000\ _S_/_-;\-* #,##0.00000\ _S_/_-;_-* &quot;-&quot;??\ _S_/_-;_-@_-"/>
    <numFmt numFmtId="175" formatCode="#,##0.00_ ;\-#,##0.00\ "/>
    <numFmt numFmtId="176" formatCode="0.000%"/>
    <numFmt numFmtId="177" formatCode="0.0000%"/>
    <numFmt numFmtId="178" formatCode="0.00000"/>
    <numFmt numFmtId="179" formatCode="0\ &quot;meses&quot;"/>
    <numFmt numFmtId="180" formatCode="00.00"/>
    <numFmt numFmtId="181" formatCode="00.00.00"/>
    <numFmt numFmtId="182" formatCode="00.00.00.00"/>
    <numFmt numFmtId="183" formatCode="#,##0.000000"/>
  </numFmts>
  <fonts count="10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8"/>
      <name val="Arial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8"/>
      <name val="Arial Narrow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10"/>
      <color rgb="FFC00000"/>
      <name val="Arial"/>
      <family val="2"/>
    </font>
    <font>
      <sz val="10"/>
      <color theme="0"/>
      <name val="Arial Narrow"/>
      <family val="2"/>
    </font>
    <font>
      <sz val="10"/>
      <name val="Courier"/>
      <family val="3"/>
    </font>
    <font>
      <sz val="10"/>
      <color rgb="FFC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</font>
    <font>
      <sz val="6.4"/>
      <color indexed="8"/>
      <name val="Arial Narrow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sz val="9"/>
      <name val="Arial Narrow"/>
      <family val="2"/>
    </font>
    <font>
      <sz val="10"/>
      <color theme="4" tint="-0.249977111117893"/>
      <name val="Arial Narrow"/>
      <family val="2"/>
    </font>
    <font>
      <b/>
      <u/>
      <sz val="11"/>
      <name val="Arial Narrow"/>
      <family val="2"/>
    </font>
    <font>
      <sz val="1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10"/>
      <color rgb="FF0000CC"/>
      <name val="Arial Narrow"/>
      <family val="2"/>
    </font>
    <font>
      <b/>
      <i/>
      <sz val="14"/>
      <color rgb="FF000099"/>
      <name val="Arial Narrow"/>
      <family val="2"/>
    </font>
    <font>
      <b/>
      <i/>
      <sz val="10"/>
      <color rgb="FF000099"/>
      <name val="Arial Narrow"/>
      <family val="2"/>
    </font>
    <font>
      <b/>
      <u/>
      <sz val="10"/>
      <color theme="1"/>
      <name val="Arial Narrow"/>
      <family val="2"/>
    </font>
    <font>
      <b/>
      <sz val="11"/>
      <color rgb="FF0000CC"/>
      <name val="Arial Narrow"/>
      <family val="2"/>
    </font>
    <font>
      <b/>
      <i/>
      <sz val="10"/>
      <color rgb="FF0000CC"/>
      <name val="Arial Narrow"/>
      <family val="2"/>
    </font>
    <font>
      <b/>
      <sz val="10"/>
      <color rgb="FF0000CC"/>
      <name val="Arial Narrow"/>
      <family val="2"/>
    </font>
    <font>
      <sz val="8"/>
      <color indexed="8"/>
      <name val="Arial Narrow"/>
      <family val="2"/>
    </font>
    <font>
      <sz val="11"/>
      <name val="Arial"/>
      <family val="2"/>
    </font>
    <font>
      <sz val="9"/>
      <name val="Tahoma"/>
      <family val="2"/>
    </font>
    <font>
      <sz val="10"/>
      <color rgb="FFFF0000"/>
      <name val="Arial"/>
      <family val="2"/>
    </font>
    <font>
      <b/>
      <sz val="9"/>
      <color rgb="FFC00000"/>
      <name val="Arial"/>
      <family val="2"/>
    </font>
    <font>
      <sz val="9"/>
      <color rgb="FFFF0000"/>
      <name val="Arial Narrow"/>
      <family val="2"/>
    </font>
    <font>
      <b/>
      <i/>
      <sz val="9"/>
      <name val="Arial Narrow"/>
      <family val="2"/>
    </font>
    <font>
      <b/>
      <sz val="9"/>
      <color rgb="FF0000FF"/>
      <name val="Arial Narrow"/>
      <family val="2"/>
    </font>
    <font>
      <sz val="10"/>
      <name val="Arial"/>
      <family val="2"/>
    </font>
    <font>
      <b/>
      <sz val="8"/>
      <color indexed="56"/>
      <name val="Arial Narrow"/>
      <family val="2"/>
    </font>
    <font>
      <sz val="10"/>
      <color indexed="56"/>
      <name val="Arial"/>
      <family val="2"/>
    </font>
    <font>
      <sz val="8"/>
      <color indexed="56"/>
      <name val="Arial Narrow"/>
      <family val="2"/>
    </font>
    <font>
      <sz val="8"/>
      <color indexed="60"/>
      <name val="Arial Narrow"/>
      <family val="2"/>
    </font>
    <font>
      <sz val="8"/>
      <color rgb="FFC00000"/>
      <name val="Arial Narrow"/>
      <family val="2"/>
    </font>
    <font>
      <b/>
      <u/>
      <sz val="10"/>
      <name val="Arial Narrow"/>
      <family val="2"/>
    </font>
    <font>
      <sz val="10"/>
      <color rgb="FF0070C0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rgb="FF7030A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indexed="10"/>
      <name val="Arial Narrow"/>
      <family val="2"/>
    </font>
    <font>
      <sz val="11"/>
      <color theme="0"/>
      <name val="Arial Narrow"/>
      <family val="2"/>
    </font>
    <font>
      <u/>
      <sz val="10"/>
      <name val="Arial Narrow"/>
      <family val="2"/>
    </font>
    <font>
      <sz val="8"/>
      <color rgb="FFFF0000"/>
      <name val="Arial Narrow"/>
      <family val="2"/>
    </font>
    <font>
      <sz val="11"/>
      <color rgb="FFFF0000"/>
      <name val="Arial Narrow"/>
      <family val="2"/>
    </font>
    <font>
      <sz val="11"/>
      <color theme="8" tint="-0.249977111117893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82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1" applyNumberFormat="0" applyAlignment="0" applyProtection="0"/>
    <xf numFmtId="0" fontId="17" fillId="12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0" fillId="7" borderId="1" applyNumberFormat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29" fillId="0" borderId="0">
      <protection locked="0"/>
    </xf>
    <xf numFmtId="166" fontId="31" fillId="0" borderId="0">
      <protection locked="0"/>
    </xf>
    <xf numFmtId="166" fontId="29" fillId="0" borderId="0">
      <protection locked="0"/>
    </xf>
    <xf numFmtId="166" fontId="31" fillId="0" borderId="0">
      <protection locked="0"/>
    </xf>
    <xf numFmtId="166" fontId="30" fillId="0" borderId="0">
      <protection locked="0"/>
    </xf>
    <xf numFmtId="166" fontId="32" fillId="0" borderId="0">
      <protection locked="0"/>
    </xf>
    <xf numFmtId="166" fontId="29" fillId="0" borderId="0">
      <protection locked="0"/>
    </xf>
    <xf numFmtId="166" fontId="31" fillId="0" borderId="0">
      <protection locked="0"/>
    </xf>
    <xf numFmtId="166" fontId="29" fillId="0" borderId="0">
      <protection locked="0"/>
    </xf>
    <xf numFmtId="166" fontId="31" fillId="0" borderId="0">
      <protection locked="0"/>
    </xf>
    <xf numFmtId="166" fontId="29" fillId="0" borderId="0">
      <protection locked="0"/>
    </xf>
    <xf numFmtId="166" fontId="31" fillId="0" borderId="0">
      <protection locked="0"/>
    </xf>
    <xf numFmtId="166" fontId="30" fillId="0" borderId="0">
      <protection locked="0"/>
    </xf>
    <xf numFmtId="166" fontId="32" fillId="0" borderId="0">
      <protection locked="0"/>
    </xf>
    <xf numFmtId="0" fontId="21" fillId="17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2" fillId="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34" fillId="0" borderId="0"/>
    <xf numFmtId="0" fontId="33" fillId="0" borderId="0"/>
    <xf numFmtId="0" fontId="7" fillId="0" borderId="0"/>
    <xf numFmtId="0" fontId="5" fillId="4" borderId="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11" borderId="5" applyNumberFormat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19" fillId="0" borderId="7" applyNumberFormat="0" applyFill="0" applyAlignment="0" applyProtection="0"/>
    <xf numFmtId="0" fontId="27" fillId="0" borderId="8" applyNumberFormat="0" applyFill="0" applyAlignment="0" applyProtection="0"/>
    <xf numFmtId="0" fontId="38" fillId="0" borderId="0"/>
    <xf numFmtId="0" fontId="38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1" applyNumberFormat="0" applyAlignment="0" applyProtection="0"/>
    <xf numFmtId="0" fontId="17" fillId="12" borderId="2" applyNumberFormat="0" applyAlignment="0" applyProtection="0"/>
    <xf numFmtId="0" fontId="18" fillId="0" borderId="3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0" fillId="7" borderId="1" applyNumberFormat="0" applyAlignment="0" applyProtection="0"/>
    <xf numFmtId="167" fontId="33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1" fillId="17" borderId="0" applyNumberFormat="0" applyBorder="0" applyAlignment="0" applyProtection="0"/>
    <xf numFmtId="164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center"/>
    </xf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center"/>
    </xf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4" fillId="0" borderId="0" applyFont="0" applyFill="0" applyBorder="0" applyAlignment="0" applyProtection="0">
      <alignment vertical="top"/>
    </xf>
    <xf numFmtId="164" fontId="44" fillId="0" borderId="0" applyFont="0" applyFill="0" applyBorder="0" applyAlignment="0" applyProtection="0">
      <alignment vertical="top"/>
    </xf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2" fillId="7" borderId="0" applyNumberFormat="0" applyBorder="0" applyAlignment="0" applyProtection="0"/>
    <xf numFmtId="0" fontId="5" fillId="0" borderId="0"/>
    <xf numFmtId="0" fontId="33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11" fillId="0" borderId="0">
      <alignment vertical="center"/>
    </xf>
    <xf numFmtId="0" fontId="44" fillId="0" borderId="0">
      <alignment vertical="top"/>
    </xf>
    <xf numFmtId="0" fontId="5" fillId="0" borderId="0"/>
    <xf numFmtId="0" fontId="44" fillId="0" borderId="0">
      <alignment vertical="top"/>
    </xf>
    <xf numFmtId="0" fontId="5" fillId="0" borderId="0"/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>
      <alignment vertical="top"/>
    </xf>
    <xf numFmtId="0" fontId="11" fillId="0" borderId="0">
      <alignment vertical="center"/>
    </xf>
    <xf numFmtId="0" fontId="44" fillId="0" borderId="0">
      <alignment vertical="top"/>
    </xf>
    <xf numFmtId="0" fontId="5" fillId="0" borderId="0"/>
    <xf numFmtId="0" fontId="5" fillId="0" borderId="0"/>
    <xf numFmtId="0" fontId="44" fillId="0" borderId="0">
      <alignment vertical="top"/>
    </xf>
    <xf numFmtId="0" fontId="44" fillId="0" borderId="0">
      <alignment vertical="top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>
      <alignment vertical="top"/>
    </xf>
    <xf numFmtId="0" fontId="5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>
      <alignment vertical="top"/>
    </xf>
    <xf numFmtId="0" fontId="3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38" fillId="0" borderId="0"/>
    <xf numFmtId="0" fontId="11" fillId="0" borderId="0">
      <alignment vertical="center"/>
    </xf>
    <xf numFmtId="0" fontId="33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4" borderId="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>
      <alignment vertical="top"/>
    </xf>
    <xf numFmtId="9" fontId="44" fillId="0" borderId="0" applyFont="0" applyFill="0" applyBorder="0" applyAlignment="0" applyProtection="0">
      <alignment vertical="top"/>
    </xf>
    <xf numFmtId="0" fontId="23" fillId="11" borderId="5" applyNumberFormat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26" fillId="0" borderId="6" applyNumberFormat="0" applyFill="0" applyAlignment="0" applyProtection="0"/>
    <xf numFmtId="0" fontId="19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3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1" applyNumberFormat="0" applyAlignment="0" applyProtection="0"/>
    <xf numFmtId="0" fontId="17" fillId="12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0" fillId="7" borderId="1" applyNumberFormat="0" applyAlignment="0" applyProtection="0"/>
    <xf numFmtId="0" fontId="21" fillId="17" borderId="0" applyNumberFormat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2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4" borderId="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11" borderId="5" applyNumberFormat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19" fillId="0" borderId="7" applyNumberFormat="0" applyFill="0" applyAlignment="0" applyProtection="0"/>
    <xf numFmtId="0" fontId="27" fillId="0" borderId="8" applyNumberFormat="0" applyFill="0" applyAlignment="0" applyProtection="0"/>
    <xf numFmtId="166" fontId="29" fillId="0" borderId="0">
      <protection locked="0"/>
    </xf>
    <xf numFmtId="166" fontId="29" fillId="0" borderId="0">
      <protection locked="0"/>
    </xf>
    <xf numFmtId="166" fontId="30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30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>
      <protection locked="0"/>
    </xf>
    <xf numFmtId="166" fontId="29" fillId="0" borderId="0">
      <protection locked="0"/>
    </xf>
    <xf numFmtId="166" fontId="30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30" fillId="0" borderId="0">
      <protection locked="0"/>
    </xf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17" fillId="12" borderId="2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  <xf numFmtId="164" fontId="4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4" fillId="0" borderId="0" applyFont="0" applyFill="0" applyBorder="0" applyAlignment="0" applyProtection="0">
      <alignment vertical="top"/>
    </xf>
    <xf numFmtId="164" fontId="1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33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4" borderId="4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" fillId="0" borderId="0"/>
    <xf numFmtId="0" fontId="44" fillId="0" borderId="0">
      <alignment vertical="top"/>
    </xf>
    <xf numFmtId="164" fontId="1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1" fillId="0" borderId="0"/>
  </cellStyleXfs>
  <cellXfs count="758">
    <xf numFmtId="0" fontId="0" fillId="0" borderId="0" xfId="0"/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vertical="top"/>
    </xf>
    <xf numFmtId="0" fontId="8" fillId="0" borderId="0" xfId="0" applyFont="1" applyFill="1" applyAlignment="1" applyProtection="1">
      <alignment horizontal="center" vertical="top"/>
    </xf>
    <xf numFmtId="0" fontId="9" fillId="0" borderId="0" xfId="0" applyFont="1" applyFill="1" applyAlignment="1" applyProtection="1">
      <alignment horizontal="left" vertical="top"/>
    </xf>
    <xf numFmtId="0" fontId="4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9" fontId="9" fillId="0" borderId="0" xfId="0" applyNumberFormat="1" applyFont="1" applyFill="1" applyBorder="1" applyAlignment="1">
      <alignment horizontal="center" vertical="top"/>
    </xf>
    <xf numFmtId="1" fontId="9" fillId="0" borderId="0" xfId="0" quotePrefix="1" applyNumberFormat="1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1" fillId="0" borderId="0" xfId="0" applyFont="1" applyFill="1" applyBorder="1" applyAlignment="1">
      <alignment horizontal="left" vertical="top" wrapText="1"/>
    </xf>
    <xf numFmtId="0" fontId="9" fillId="0" borderId="0" xfId="0" quotePrefix="1" applyFont="1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13" xfId="0" applyFont="1" applyFill="1" applyBorder="1" applyAlignment="1">
      <alignment horizontal="right" vertical="top"/>
    </xf>
    <xf numFmtId="0" fontId="9" fillId="0" borderId="15" xfId="0" applyFont="1" applyFill="1" applyBorder="1" applyAlignment="1">
      <alignment horizontal="right" vertical="top"/>
    </xf>
    <xf numFmtId="0" fontId="9" fillId="0" borderId="16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50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170" fontId="8" fillId="20" borderId="11" xfId="0" quotePrefix="1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justify" vertical="top" wrapText="1"/>
    </xf>
    <xf numFmtId="0" fontId="46" fillId="0" borderId="0" xfId="290" applyFont="1" applyFill="1" applyBorder="1" applyAlignment="1">
      <alignment horizontal="center" vertical="top"/>
    </xf>
    <xf numFmtId="9" fontId="46" fillId="0" borderId="0" xfId="290" applyNumberFormat="1" applyFont="1" applyFill="1" applyBorder="1" applyAlignment="1">
      <alignment horizontal="center" vertical="top"/>
    </xf>
    <xf numFmtId="1" fontId="46" fillId="0" borderId="0" xfId="290" quotePrefix="1" applyNumberFormat="1" applyFont="1" applyFill="1" applyBorder="1" applyAlignment="1">
      <alignment horizontal="center" vertical="top"/>
    </xf>
    <xf numFmtId="0" fontId="8" fillId="0" borderId="0" xfId="290" applyFont="1" applyFill="1" applyBorder="1" applyAlignment="1">
      <alignment vertical="top" wrapText="1"/>
    </xf>
    <xf numFmtId="49" fontId="9" fillId="0" borderId="0" xfId="0" applyNumberFormat="1" applyFont="1" applyFill="1" applyAlignment="1">
      <alignment horizontal="left" vertical="top"/>
    </xf>
    <xf numFmtId="0" fontId="35" fillId="0" borderId="16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vertical="top"/>
    </xf>
    <xf numFmtId="0" fontId="9" fillId="0" borderId="22" xfId="0" applyFont="1" applyFill="1" applyBorder="1" applyAlignment="1">
      <alignment vertical="top"/>
    </xf>
    <xf numFmtId="0" fontId="9" fillId="0" borderId="22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left" vertical="top"/>
    </xf>
    <xf numFmtId="170" fontId="8" fillId="0" borderId="0" xfId="0" quotePrefix="1" applyNumberFormat="1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6" fillId="0" borderId="0" xfId="0" applyFont="1" applyFill="1" applyAlignment="1">
      <alignment horizontal="left" vertical="top"/>
    </xf>
    <xf numFmtId="0" fontId="9" fillId="0" borderId="0" xfId="0" applyFont="1" applyAlignment="1">
      <alignment horizontal="center" vertical="top"/>
    </xf>
    <xf numFmtId="0" fontId="4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2" fontId="9" fillId="0" borderId="0" xfId="0" applyNumberFormat="1" applyFont="1" applyFill="1" applyBorder="1" applyAlignment="1">
      <alignment horizontal="center" vertical="top"/>
    </xf>
    <xf numFmtId="4" fontId="4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169" fontId="9" fillId="0" borderId="0" xfId="0" applyNumberFormat="1" applyFont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15" xfId="0" applyFont="1" applyFill="1" applyBorder="1" applyAlignment="1" applyProtection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22" borderId="11" xfId="0" applyFont="1" applyFill="1" applyBorder="1" applyAlignment="1">
      <alignment horizontal="center" vertical="top"/>
    </xf>
    <xf numFmtId="4" fontId="4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35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0" borderId="15" xfId="0" applyFont="1" applyFill="1" applyBorder="1" applyAlignment="1">
      <alignment vertical="top"/>
    </xf>
    <xf numFmtId="0" fontId="50" fillId="0" borderId="0" xfId="0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center" vertical="top"/>
    </xf>
    <xf numFmtId="0" fontId="50" fillId="0" borderId="15" xfId="0" applyFont="1" applyFill="1" applyBorder="1" applyAlignment="1">
      <alignment horizontal="center" vertical="top" wrapText="1"/>
    </xf>
    <xf numFmtId="4" fontId="46" fillId="0" borderId="0" xfId="290" applyNumberFormat="1" applyFont="1" applyFill="1" applyBorder="1" applyAlignment="1">
      <alignment horizontal="center" vertical="top"/>
    </xf>
    <xf numFmtId="0" fontId="49" fillId="0" borderId="9" xfId="0" applyFont="1" applyFill="1" applyBorder="1" applyAlignment="1">
      <alignment vertical="top"/>
    </xf>
    <xf numFmtId="4" fontId="49" fillId="0" borderId="9" xfId="0" applyNumberFormat="1" applyFont="1" applyFill="1" applyBorder="1" applyAlignment="1">
      <alignment vertical="top"/>
    </xf>
    <xf numFmtId="4" fontId="49" fillId="0" borderId="25" xfId="0" applyNumberFormat="1" applyFont="1" applyFill="1" applyBorder="1" applyAlignment="1">
      <alignment vertical="top"/>
    </xf>
    <xf numFmtId="4" fontId="10" fillId="21" borderId="12" xfId="0" applyNumberFormat="1" applyFont="1" applyFill="1" applyBorder="1" applyAlignment="1">
      <alignment vertical="top"/>
    </xf>
    <xf numFmtId="0" fontId="49" fillId="0" borderId="10" xfId="0" applyFont="1" applyBorder="1" applyAlignment="1">
      <alignment horizontal="center" vertical="top"/>
    </xf>
    <xf numFmtId="0" fontId="9" fillId="0" borderId="24" xfId="0" applyFont="1" applyBorder="1" applyAlignment="1">
      <alignment vertical="top"/>
    </xf>
    <xf numFmtId="0" fontId="49" fillId="0" borderId="0" xfId="0" applyFont="1" applyAlignment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10" fillId="0" borderId="0" xfId="0" applyFont="1" applyFill="1" applyAlignment="1" applyProtection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9" fillId="0" borderId="15" xfId="0" applyNumberFormat="1" applyFont="1" applyFill="1" applyBorder="1" applyAlignment="1">
      <alignment horizontal="left" vertical="top"/>
    </xf>
    <xf numFmtId="49" fontId="39" fillId="0" borderId="15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" fillId="0" borderId="24" xfId="0" applyFont="1" applyFill="1" applyBorder="1" applyAlignment="1">
      <alignment vertical="top"/>
    </xf>
    <xf numFmtId="4" fontId="8" fillId="20" borderId="12" xfId="0" applyNumberFormat="1" applyFont="1" applyFill="1" applyBorder="1" applyAlignment="1">
      <alignment vertical="top"/>
    </xf>
    <xf numFmtId="0" fontId="8" fillId="0" borderId="0" xfId="0" applyFont="1" applyFill="1" applyAlignment="1" applyProtection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4" fontId="9" fillId="0" borderId="9" xfId="0" applyNumberFormat="1" applyFont="1" applyFill="1" applyBorder="1" applyAlignment="1">
      <alignment vertical="top"/>
    </xf>
    <xf numFmtId="0" fontId="40" fillId="0" borderId="0" xfId="193" applyFont="1"/>
    <xf numFmtId="0" fontId="40" fillId="24" borderId="10" xfId="193" applyFont="1" applyFill="1" applyBorder="1" applyAlignment="1">
      <alignment horizontal="center"/>
    </xf>
    <xf numFmtId="0" fontId="9" fillId="20" borderId="13" xfId="193" applyFont="1" applyFill="1" applyBorder="1"/>
    <xf numFmtId="164" fontId="52" fillId="0" borderId="13" xfId="696" applyFont="1" applyFill="1" applyBorder="1"/>
    <xf numFmtId="0" fontId="40" fillId="20" borderId="14" xfId="193" applyFont="1" applyFill="1" applyBorder="1"/>
    <xf numFmtId="0" fontId="52" fillId="0" borderId="10" xfId="193" applyFont="1" applyBorder="1" applyAlignment="1">
      <alignment horizontal="center"/>
    </xf>
    <xf numFmtId="0" fontId="9" fillId="20" borderId="15" xfId="193" applyFont="1" applyFill="1" applyBorder="1"/>
    <xf numFmtId="164" fontId="52" fillId="0" borderId="15" xfId="696" applyFont="1" applyFill="1" applyBorder="1"/>
    <xf numFmtId="0" fontId="40" fillId="20" borderId="9" xfId="193" applyFont="1" applyFill="1" applyBorder="1"/>
    <xf numFmtId="4" fontId="9" fillId="19" borderId="0" xfId="193" applyNumberFormat="1" applyFont="1" applyFill="1"/>
    <xf numFmtId="0" fontId="40" fillId="20" borderId="10" xfId="193" applyFont="1" applyFill="1" applyBorder="1" applyAlignment="1">
      <alignment horizontal="center"/>
    </xf>
    <xf numFmtId="164" fontId="9" fillId="20" borderId="15" xfId="696" applyFont="1" applyFill="1" applyBorder="1"/>
    <xf numFmtId="164" fontId="40" fillId="25" borderId="10" xfId="696" applyFont="1" applyFill="1" applyBorder="1" applyAlignment="1">
      <alignment horizontal="center" vertical="center"/>
    </xf>
    <xf numFmtId="0" fontId="9" fillId="20" borderId="16" xfId="193" applyFont="1" applyFill="1" applyBorder="1"/>
    <xf numFmtId="164" fontId="52" fillId="0" borderId="16" xfId="696" applyFont="1" applyFill="1" applyBorder="1"/>
    <xf numFmtId="0" fontId="40" fillId="20" borderId="17" xfId="193" applyFont="1" applyFill="1" applyBorder="1"/>
    <xf numFmtId="0" fontId="53" fillId="0" borderId="0" xfId="193" applyFont="1" applyAlignment="1">
      <alignment horizontal="left" vertical="top"/>
    </xf>
    <xf numFmtId="0" fontId="54" fillId="0" borderId="0" xfId="193" applyFont="1" applyAlignment="1">
      <alignment horizontal="left" vertical="top"/>
    </xf>
    <xf numFmtId="0" fontId="55" fillId="0" borderId="0" xfId="193" applyFont="1" applyAlignment="1">
      <alignment horizontal="left" vertical="top"/>
    </xf>
    <xf numFmtId="0" fontId="40" fillId="0" borderId="0" xfId="193" applyFont="1" applyAlignment="1">
      <alignment vertical="top"/>
    </xf>
    <xf numFmtId="0" fontId="40" fillId="24" borderId="18" xfId="193" applyFont="1" applyFill="1" applyBorder="1" applyAlignment="1">
      <alignment horizontal="center"/>
    </xf>
    <xf numFmtId="0" fontId="41" fillId="24" borderId="18" xfId="193" applyFont="1" applyFill="1" applyBorder="1" applyAlignment="1">
      <alignment horizontal="center"/>
    </xf>
    <xf numFmtId="9" fontId="56" fillId="0" borderId="19" xfId="193" applyNumberFormat="1" applyFont="1" applyFill="1" applyBorder="1" applyAlignment="1">
      <alignment horizontal="center"/>
    </xf>
    <xf numFmtId="0" fontId="40" fillId="24" borderId="19" xfId="193" applyFont="1" applyFill="1" applyBorder="1" applyAlignment="1">
      <alignment horizontal="center"/>
    </xf>
    <xf numFmtId="0" fontId="41" fillId="24" borderId="19" xfId="193" applyFont="1" applyFill="1" applyBorder="1" applyAlignment="1">
      <alignment horizontal="center"/>
    </xf>
    <xf numFmtId="0" fontId="40" fillId="0" borderId="0" xfId="193" applyFont="1" applyAlignment="1">
      <alignment vertical="center"/>
    </xf>
    <xf numFmtId="0" fontId="40" fillId="20" borderId="10" xfId="193" applyFont="1" applyFill="1" applyBorder="1" applyAlignment="1">
      <alignment vertical="center" wrapText="1"/>
    </xf>
    <xf numFmtId="164" fontId="40" fillId="20" borderId="10" xfId="193" applyNumberFormat="1" applyFont="1" applyFill="1" applyBorder="1" applyAlignment="1">
      <alignment vertical="center"/>
    </xf>
    <xf numFmtId="10" fontId="52" fillId="0" borderId="10" xfId="193" applyNumberFormat="1" applyFont="1" applyBorder="1" applyAlignment="1">
      <alignment vertical="center"/>
    </xf>
    <xf numFmtId="171" fontId="9" fillId="20" borderId="10" xfId="193" applyNumberFormat="1" applyFont="1" applyFill="1" applyBorder="1" applyAlignment="1">
      <alignment vertical="center"/>
    </xf>
    <xf numFmtId="0" fontId="52" fillId="0" borderId="10" xfId="193" applyFont="1" applyBorder="1" applyAlignment="1">
      <alignment vertical="center"/>
    </xf>
    <xf numFmtId="164" fontId="40" fillId="25" borderId="10" xfId="696" applyFont="1" applyFill="1" applyBorder="1" applyAlignment="1">
      <alignment vertical="center"/>
    </xf>
    <xf numFmtId="0" fontId="57" fillId="0" borderId="0" xfId="193" applyFont="1" applyAlignment="1">
      <alignment horizontal="left" vertical="center"/>
    </xf>
    <xf numFmtId="0" fontId="58" fillId="0" borderId="18" xfId="193" applyFont="1" applyFill="1" applyBorder="1" applyAlignment="1">
      <alignment horizontal="center"/>
    </xf>
    <xf numFmtId="0" fontId="58" fillId="0" borderId="19" xfId="193" applyFont="1" applyFill="1" applyBorder="1" applyAlignment="1">
      <alignment horizontal="center"/>
    </xf>
    <xf numFmtId="10" fontId="9" fillId="20" borderId="10" xfId="193" applyNumberFormat="1" applyFont="1" applyFill="1" applyBorder="1" applyAlignment="1">
      <alignment vertical="center"/>
    </xf>
    <xf numFmtId="10" fontId="52" fillId="0" borderId="10" xfId="193" applyNumberFormat="1" applyFont="1" applyFill="1" applyBorder="1" applyAlignment="1">
      <alignment vertical="center"/>
    </xf>
    <xf numFmtId="164" fontId="52" fillId="0" borderId="10" xfId="193" applyNumberFormat="1" applyFont="1" applyFill="1" applyBorder="1" applyAlignment="1">
      <alignment vertical="center"/>
    </xf>
    <xf numFmtId="164" fontId="40" fillId="0" borderId="0" xfId="696" applyFont="1"/>
    <xf numFmtId="12" fontId="40" fillId="0" borderId="0" xfId="696" applyNumberFormat="1" applyFont="1"/>
    <xf numFmtId="164" fontId="40" fillId="20" borderId="10" xfId="193" applyNumberFormat="1" applyFont="1" applyFill="1" applyBorder="1" applyAlignment="1">
      <alignment horizontal="center" vertical="center"/>
    </xf>
    <xf numFmtId="0" fontId="54" fillId="0" borderId="0" xfId="193" applyFont="1" applyAlignment="1">
      <alignment horizontal="left" vertical="center"/>
    </xf>
    <xf numFmtId="0" fontId="55" fillId="0" borderId="0" xfId="193" applyFont="1" applyAlignment="1">
      <alignment horizontal="left" vertical="center"/>
    </xf>
    <xf numFmtId="164" fontId="40" fillId="0" borderId="0" xfId="193" applyNumberFormat="1" applyFont="1" applyAlignment="1">
      <alignment vertical="center"/>
    </xf>
    <xf numFmtId="9" fontId="52" fillId="24" borderId="19" xfId="193" applyNumberFormat="1" applyFont="1" applyFill="1" applyBorder="1" applyAlignment="1">
      <alignment horizontal="center"/>
    </xf>
    <xf numFmtId="172" fontId="52" fillId="0" borderId="10" xfId="696" applyNumberFormat="1" applyFont="1" applyFill="1" applyBorder="1" applyAlignment="1">
      <alignment vertical="center"/>
    </xf>
    <xf numFmtId="173" fontId="9" fillId="20" borderId="10" xfId="193" applyNumberFormat="1" applyFont="1" applyFill="1" applyBorder="1" applyAlignment="1">
      <alignment vertical="center"/>
    </xf>
    <xf numFmtId="10" fontId="52" fillId="0" borderId="10" xfId="195" applyNumberFormat="1" applyFont="1" applyFill="1" applyBorder="1" applyAlignment="1">
      <alignment vertical="center"/>
    </xf>
    <xf numFmtId="168" fontId="46" fillId="0" borderId="23" xfId="535" applyFont="1" applyBorder="1"/>
    <xf numFmtId="175" fontId="12" fillId="0" borderId="15" xfId="769" applyNumberFormat="1" applyFont="1" applyFill="1" applyBorder="1" applyAlignment="1">
      <alignment horizontal="right" vertical="center"/>
    </xf>
    <xf numFmtId="168" fontId="66" fillId="0" borderId="15" xfId="764" applyNumberFormat="1" applyFont="1" applyBorder="1" applyAlignment="1">
      <alignment vertical="center"/>
    </xf>
    <xf numFmtId="0" fontId="12" fillId="0" borderId="15" xfId="764" applyFont="1" applyBorder="1" applyAlignment="1">
      <alignment vertical="center"/>
    </xf>
    <xf numFmtId="0" fontId="64" fillId="0" borderId="15" xfId="764" applyFont="1" applyFill="1" applyBorder="1" applyAlignment="1">
      <alignment vertical="center"/>
    </xf>
    <xf numFmtId="0" fontId="12" fillId="0" borderId="15" xfId="764" applyFont="1" applyFill="1" applyBorder="1" applyAlignment="1">
      <alignment horizontal="center"/>
    </xf>
    <xf numFmtId="175" fontId="12" fillId="0" borderId="10" xfId="769" applyNumberFormat="1" applyFont="1" applyFill="1" applyBorder="1" applyAlignment="1">
      <alignment horizontal="right" vertical="center"/>
    </xf>
    <xf numFmtId="168" fontId="66" fillId="0" borderId="10" xfId="764" applyNumberFormat="1" applyFont="1" applyBorder="1" applyAlignment="1">
      <alignment vertical="center"/>
    </xf>
    <xf numFmtId="4" fontId="66" fillId="0" borderId="10" xfId="764" applyNumberFormat="1" applyFont="1" applyBorder="1" applyAlignment="1">
      <alignment vertical="center"/>
    </xf>
    <xf numFmtId="0" fontId="66" fillId="0" borderId="10" xfId="764" applyFont="1" applyBorder="1" applyAlignment="1">
      <alignment vertical="center"/>
    </xf>
    <xf numFmtId="0" fontId="64" fillId="0" borderId="10" xfId="764" applyFont="1" applyFill="1" applyBorder="1" applyAlignment="1">
      <alignment vertical="center"/>
    </xf>
    <xf numFmtId="175" fontId="12" fillId="28" borderId="10" xfId="769" applyNumberFormat="1" applyFont="1" applyFill="1" applyBorder="1" applyAlignment="1">
      <alignment horizontal="right" vertical="center"/>
    </xf>
    <xf numFmtId="168" fontId="46" fillId="0" borderId="0" xfId="535" applyFont="1" applyFill="1" applyBorder="1"/>
    <xf numFmtId="175" fontId="12" fillId="0" borderId="0" xfId="769" applyNumberFormat="1" applyFont="1" applyFill="1" applyBorder="1" applyAlignment="1">
      <alignment horizontal="right" vertical="center"/>
    </xf>
    <xf numFmtId="4" fontId="66" fillId="0" borderId="12" xfId="764" applyNumberFormat="1" applyFont="1" applyBorder="1" applyAlignment="1">
      <alignment vertical="center"/>
    </xf>
    <xf numFmtId="0" fontId="66" fillId="0" borderId="24" xfId="764" applyFont="1" applyBorder="1" applyAlignment="1">
      <alignment vertical="center"/>
    </xf>
    <xf numFmtId="0" fontId="46" fillId="0" borderId="11" xfId="764" applyFont="1" applyBorder="1" applyAlignment="1">
      <alignment vertical="center"/>
    </xf>
    <xf numFmtId="0" fontId="12" fillId="0" borderId="10" xfId="764" applyFont="1" applyBorder="1" applyAlignment="1">
      <alignment vertical="center"/>
    </xf>
    <xf numFmtId="0" fontId="46" fillId="0" borderId="10" xfId="764" applyFont="1" applyBorder="1" applyAlignment="1">
      <alignment vertical="center"/>
    </xf>
    <xf numFmtId="2" fontId="12" fillId="0" borderId="28" xfId="764" applyNumberFormat="1" applyFont="1" applyFill="1" applyBorder="1" applyProtection="1"/>
    <xf numFmtId="0" fontId="46" fillId="0" borderId="10" xfId="764" applyFont="1" applyFill="1" applyBorder="1" applyAlignment="1">
      <alignment vertical="center"/>
    </xf>
    <xf numFmtId="168" fontId="46" fillId="0" borderId="0" xfId="535" applyFont="1" applyBorder="1"/>
    <xf numFmtId="168" fontId="64" fillId="0" borderId="0" xfId="535" applyFont="1" applyBorder="1"/>
    <xf numFmtId="0" fontId="12" fillId="26" borderId="10" xfId="764" applyFont="1" applyFill="1" applyBorder="1" applyAlignment="1">
      <alignment horizontal="center" vertical="top"/>
    </xf>
    <xf numFmtId="0" fontId="12" fillId="26" borderId="10" xfId="764" applyFont="1" applyFill="1" applyBorder="1" applyAlignment="1">
      <alignment horizontal="center" vertical="top" wrapText="1"/>
    </xf>
    <xf numFmtId="0" fontId="12" fillId="26" borderId="10" xfId="764" applyFont="1" applyFill="1" applyBorder="1"/>
    <xf numFmtId="174" fontId="28" fillId="0" borderId="0" xfId="535" applyNumberFormat="1" applyFont="1" applyBorder="1" applyAlignment="1">
      <alignment vertical="top"/>
    </xf>
    <xf numFmtId="168" fontId="46" fillId="0" borderId="36" xfId="535" applyFont="1" applyFill="1" applyBorder="1"/>
    <xf numFmtId="168" fontId="46" fillId="0" borderId="35" xfId="535" applyFont="1" applyFill="1" applyBorder="1"/>
    <xf numFmtId="168" fontId="64" fillId="0" borderId="35" xfId="535" applyFont="1" applyFill="1" applyBorder="1"/>
    <xf numFmtId="168" fontId="63" fillId="0" borderId="34" xfId="535" applyFont="1" applyFill="1" applyBorder="1" applyAlignment="1">
      <alignment vertical="top"/>
    </xf>
    <xf numFmtId="2" fontId="46" fillId="29" borderId="0" xfId="764" applyNumberFormat="1" applyFont="1" applyFill="1" applyProtection="1"/>
    <xf numFmtId="168" fontId="46" fillId="0" borderId="33" xfId="535" applyFont="1" applyBorder="1" applyAlignment="1">
      <alignment horizontal="left" vertical="top" wrapText="1"/>
    </xf>
    <xf numFmtId="9" fontId="66" fillId="0" borderId="10" xfId="764" applyNumberFormat="1" applyFont="1" applyFill="1" applyBorder="1"/>
    <xf numFmtId="4" fontId="66" fillId="0" borderId="10" xfId="764" applyNumberFormat="1" applyFont="1" applyFill="1" applyBorder="1"/>
    <xf numFmtId="2" fontId="46" fillId="0" borderId="0" xfId="764" applyNumberFormat="1" applyFont="1" applyFill="1" applyProtection="1"/>
    <xf numFmtId="0" fontId="46" fillId="0" borderId="0" xfId="764" applyFont="1" applyFill="1" applyAlignment="1" applyProtection="1">
      <alignment horizontal="left"/>
    </xf>
    <xf numFmtId="168" fontId="65" fillId="0" borderId="10" xfId="535" applyFont="1" applyBorder="1" applyAlignment="1">
      <alignment horizontal="center" vertical="center"/>
    </xf>
    <xf numFmtId="168" fontId="46" fillId="0" borderId="36" xfId="535" applyFont="1" applyBorder="1"/>
    <xf numFmtId="168" fontId="46" fillId="0" borderId="35" xfId="535" applyFont="1" applyBorder="1"/>
    <xf numFmtId="168" fontId="64" fillId="0" borderId="35" xfId="535" applyFont="1" applyBorder="1"/>
    <xf numFmtId="168" fontId="63" fillId="0" borderId="34" xfId="535" applyFont="1" applyBorder="1" applyAlignment="1">
      <alignment vertical="top"/>
    </xf>
    <xf numFmtId="4" fontId="12" fillId="28" borderId="20" xfId="764" applyNumberFormat="1" applyFont="1" applyFill="1" applyBorder="1"/>
    <xf numFmtId="4" fontId="46" fillId="0" borderId="0" xfId="764" applyNumberFormat="1" applyFont="1" applyBorder="1"/>
    <xf numFmtId="0" fontId="46" fillId="0" borderId="0" xfId="764" applyFont="1" applyBorder="1"/>
    <xf numFmtId="4" fontId="12" fillId="0" borderId="10" xfId="764" applyNumberFormat="1" applyFont="1" applyFill="1" applyBorder="1"/>
    <xf numFmtId="168" fontId="46" fillId="0" borderId="0" xfId="535" applyFont="1" applyFill="1"/>
    <xf numFmtId="9" fontId="46" fillId="0" borderId="10" xfId="764" applyNumberFormat="1" applyFont="1" applyFill="1" applyBorder="1"/>
    <xf numFmtId="4" fontId="46" fillId="0" borderId="10" xfId="764" applyNumberFormat="1" applyFont="1" applyFill="1" applyBorder="1"/>
    <xf numFmtId="0" fontId="46" fillId="0" borderId="10" xfId="764" applyFont="1" applyFill="1" applyBorder="1"/>
    <xf numFmtId="168" fontId="46" fillId="0" borderId="33" xfId="535" applyFont="1" applyBorder="1"/>
    <xf numFmtId="0" fontId="12" fillId="26" borderId="10" xfId="764" applyFont="1" applyFill="1" applyBorder="1" applyAlignment="1">
      <alignment horizontal="center"/>
    </xf>
    <xf numFmtId="168" fontId="46" fillId="0" borderId="0" xfId="535" applyFont="1" applyAlignment="1">
      <alignment vertical="top"/>
    </xf>
    <xf numFmtId="168" fontId="46" fillId="0" borderId="33" xfId="535" applyFont="1" applyBorder="1" applyAlignment="1">
      <alignment vertical="top"/>
    </xf>
    <xf numFmtId="168" fontId="46" fillId="0" borderId="0" xfId="535" applyFont="1" applyBorder="1" applyAlignment="1">
      <alignment vertical="top"/>
    </xf>
    <xf numFmtId="168" fontId="64" fillId="0" borderId="0" xfId="535" applyFont="1" applyBorder="1" applyAlignment="1">
      <alignment vertical="top"/>
    </xf>
    <xf numFmtId="168" fontId="63" fillId="0" borderId="0" xfId="535" applyFont="1" applyBorder="1" applyAlignment="1">
      <alignment vertical="top"/>
    </xf>
    <xf numFmtId="168" fontId="63" fillId="0" borderId="32" xfId="535" applyFont="1" applyBorder="1" applyAlignment="1">
      <alignment vertical="top"/>
    </xf>
    <xf numFmtId="168" fontId="46" fillId="0" borderId="31" xfId="535" applyFont="1" applyBorder="1"/>
    <xf numFmtId="168" fontId="46" fillId="0" borderId="30" xfId="535" applyFont="1" applyBorder="1"/>
    <xf numFmtId="168" fontId="64" fillId="0" borderId="30" xfId="535" applyFont="1" applyBorder="1"/>
    <xf numFmtId="168" fontId="63" fillId="0" borderId="29" xfId="535" applyFont="1" applyBorder="1" applyAlignment="1">
      <alignment vertical="top"/>
    </xf>
    <xf numFmtId="168" fontId="46" fillId="0" borderId="0" xfId="535" applyFont="1"/>
    <xf numFmtId="168" fontId="64" fillId="0" borderId="0" xfId="535" applyFont="1"/>
    <xf numFmtId="168" fontId="63" fillId="0" borderId="0" xfId="535" applyFont="1" applyAlignment="1">
      <alignment vertical="top"/>
    </xf>
    <xf numFmtId="4" fontId="0" fillId="0" borderId="0" xfId="0" applyNumberFormat="1" applyAlignment="1">
      <alignment vertical="center"/>
    </xf>
    <xf numFmtId="0" fontId="5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46" fillId="19" borderId="0" xfId="764" applyFont="1" applyFill="1" applyAlignment="1" applyProtection="1">
      <alignment horizontal="left"/>
    </xf>
    <xf numFmtId="0" fontId="61" fillId="19" borderId="0" xfId="29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top"/>
    </xf>
    <xf numFmtId="9" fontId="9" fillId="0" borderId="10" xfId="0" applyNumberFormat="1" applyFont="1" applyFill="1" applyBorder="1" applyAlignment="1">
      <alignment horizontal="center" vertical="top"/>
    </xf>
    <xf numFmtId="1" fontId="9" fillId="0" borderId="10" xfId="0" quotePrefix="1" applyNumberFormat="1" applyFont="1" applyFill="1" applyBorder="1" applyAlignment="1">
      <alignment horizontal="center" vertical="top"/>
    </xf>
    <xf numFmtId="4" fontId="9" fillId="0" borderId="10" xfId="0" applyNumberFormat="1" applyFont="1" applyFill="1" applyBorder="1" applyAlignment="1">
      <alignment horizontal="center" vertical="top"/>
    </xf>
    <xf numFmtId="4" fontId="9" fillId="0" borderId="10" xfId="0" applyNumberFormat="1" applyFont="1" applyFill="1" applyBorder="1" applyAlignment="1">
      <alignment vertical="top"/>
    </xf>
    <xf numFmtId="4" fontId="8" fillId="0" borderId="9" xfId="0" applyNumberFormat="1" applyFont="1" applyBorder="1" applyAlignment="1">
      <alignment vertical="top"/>
    </xf>
    <xf numFmtId="2" fontId="64" fillId="0" borderId="10" xfId="764" applyNumberFormat="1" applyFont="1" applyFill="1" applyBorder="1" applyAlignment="1">
      <alignment vertical="center"/>
    </xf>
    <xf numFmtId="0" fontId="5" fillId="0" borderId="0" xfId="290"/>
    <xf numFmtId="0" fontId="68" fillId="0" borderId="0" xfId="290" applyFont="1"/>
    <xf numFmtId="0" fontId="69" fillId="0" borderId="0" xfId="290" applyFont="1"/>
    <xf numFmtId="0" fontId="70" fillId="0" borderId="0" xfId="290" applyFont="1"/>
    <xf numFmtId="2" fontId="70" fillId="0" borderId="0" xfId="290" applyNumberFormat="1" applyFont="1"/>
    <xf numFmtId="0" fontId="70" fillId="0" borderId="0" xfId="290" applyFont="1" applyAlignment="1">
      <alignment vertical="top" wrapText="1"/>
    </xf>
    <xf numFmtId="0" fontId="70" fillId="0" borderId="0" xfId="290" applyFont="1" applyAlignment="1">
      <alignment vertical="top"/>
    </xf>
    <xf numFmtId="2" fontId="70" fillId="0" borderId="0" xfId="290" applyNumberFormat="1" applyFont="1" applyAlignment="1">
      <alignment vertical="top"/>
    </xf>
    <xf numFmtId="2" fontId="70" fillId="0" borderId="23" xfId="290" applyNumberFormat="1" applyFont="1" applyBorder="1"/>
    <xf numFmtId="9" fontId="70" fillId="30" borderId="0" xfId="290" applyNumberFormat="1" applyFont="1" applyFill="1"/>
    <xf numFmtId="9" fontId="70" fillId="0" borderId="0" xfId="290" applyNumberFormat="1" applyFont="1"/>
    <xf numFmtId="2" fontId="70" fillId="0" borderId="10" xfId="290" applyNumberFormat="1" applyFont="1" applyBorder="1"/>
    <xf numFmtId="0" fontId="69" fillId="0" borderId="0" xfId="290" quotePrefix="1" applyFont="1" applyAlignment="1">
      <alignment horizontal="center"/>
    </xf>
    <xf numFmtId="10" fontId="69" fillId="0" borderId="0" xfId="290" applyNumberFormat="1" applyFont="1"/>
    <xf numFmtId="10" fontId="5" fillId="0" borderId="0" xfId="290" applyNumberFormat="1"/>
    <xf numFmtId="9" fontId="5" fillId="0" borderId="0" xfId="290" applyNumberFormat="1"/>
    <xf numFmtId="0" fontId="5" fillId="0" borderId="0" xfId="290" applyAlignment="1">
      <alignment horizontal="right"/>
    </xf>
    <xf numFmtId="2" fontId="72" fillId="0" borderId="0" xfId="290" applyNumberFormat="1" applyFont="1"/>
    <xf numFmtId="2" fontId="70" fillId="0" borderId="0" xfId="290" applyNumberFormat="1" applyFont="1" applyFill="1" applyBorder="1"/>
    <xf numFmtId="2" fontId="70" fillId="0" borderId="23" xfId="290" applyNumberFormat="1" applyFont="1" applyFill="1" applyBorder="1"/>
    <xf numFmtId="9" fontId="28" fillId="0" borderId="0" xfId="290" applyNumberFormat="1" applyFont="1"/>
    <xf numFmtId="9" fontId="28" fillId="30" borderId="0" xfId="290" applyNumberFormat="1" applyFont="1" applyFill="1"/>
    <xf numFmtId="0" fontId="5" fillId="0" borderId="0" xfId="290" applyFill="1"/>
    <xf numFmtId="10" fontId="69" fillId="0" borderId="0" xfId="290" applyNumberFormat="1" applyFont="1" applyFill="1"/>
    <xf numFmtId="2" fontId="70" fillId="0" borderId="10" xfId="290" applyNumberFormat="1" applyFont="1" applyFill="1" applyBorder="1"/>
    <xf numFmtId="0" fontId="70" fillId="0" borderId="0" xfId="290" applyFont="1" applyFill="1"/>
    <xf numFmtId="2" fontId="70" fillId="0" borderId="0" xfId="290" applyNumberFormat="1" applyFont="1" applyFill="1"/>
    <xf numFmtId="2" fontId="5" fillId="0" borderId="0" xfId="290" applyNumberFormat="1" applyFill="1"/>
    <xf numFmtId="10" fontId="5" fillId="0" borderId="0" xfId="290" applyNumberFormat="1" applyFill="1"/>
    <xf numFmtId="0" fontId="5" fillId="0" borderId="0" xfId="290" applyFont="1" applyFill="1"/>
    <xf numFmtId="2" fontId="70" fillId="29" borderId="0" xfId="290" applyNumberFormat="1" applyFont="1" applyFill="1" applyBorder="1"/>
    <xf numFmtId="0" fontId="9" fillId="0" borderId="10" xfId="0" applyFont="1" applyFill="1" applyBorder="1" applyAlignment="1">
      <alignment vertical="top" wrapText="1"/>
    </xf>
    <xf numFmtId="0" fontId="9" fillId="0" borderId="10" xfId="601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/>
    </xf>
    <xf numFmtId="4" fontId="8" fillId="0" borderId="10" xfId="0" applyNumberFormat="1" applyFont="1" applyFill="1" applyBorder="1" applyAlignment="1">
      <alignment horizontal="center" vertical="top"/>
    </xf>
    <xf numFmtId="4" fontId="8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top"/>
    </xf>
    <xf numFmtId="0" fontId="8" fillId="0" borderId="11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9" fillId="20" borderId="24" xfId="0" applyFont="1" applyFill="1" applyBorder="1" applyAlignment="1">
      <alignment vertical="top"/>
    </xf>
    <xf numFmtId="0" fontId="9" fillId="20" borderId="24" xfId="0" applyFont="1" applyFill="1" applyBorder="1" applyAlignment="1">
      <alignment horizontal="center" vertical="top"/>
    </xf>
    <xf numFmtId="4" fontId="8" fillId="20" borderId="10" xfId="0" applyNumberFormat="1" applyFont="1" applyFill="1" applyBorder="1" applyAlignment="1">
      <alignment horizontal="center" vertical="top"/>
    </xf>
    <xf numFmtId="9" fontId="37" fillId="0" borderId="24" xfId="0" applyNumberFormat="1" applyFont="1" applyFill="1" applyBorder="1" applyAlignment="1">
      <alignment horizontal="center" vertical="top"/>
    </xf>
    <xf numFmtId="0" fontId="8" fillId="0" borderId="24" xfId="0" applyFont="1" applyFill="1" applyBorder="1" applyAlignment="1">
      <alignment vertical="top"/>
    </xf>
    <xf numFmtId="0" fontId="35" fillId="20" borderId="11" xfId="0" applyFont="1" applyFill="1" applyBorder="1" applyAlignment="1">
      <alignment horizontal="left" vertical="top"/>
    </xf>
    <xf numFmtId="0" fontId="8" fillId="20" borderId="24" xfId="0" applyFont="1" applyFill="1" applyBorder="1" applyAlignment="1">
      <alignment vertical="top"/>
    </xf>
    <xf numFmtId="4" fontId="8" fillId="20" borderId="10" xfId="0" applyNumberFormat="1" applyFont="1" applyFill="1" applyBorder="1" applyAlignment="1">
      <alignment vertical="top"/>
    </xf>
    <xf numFmtId="1" fontId="37" fillId="0" borderId="24" xfId="0" applyNumberFormat="1" applyFont="1" applyFill="1" applyBorder="1" applyAlignment="1">
      <alignment horizontal="center" vertical="top"/>
    </xf>
    <xf numFmtId="170" fontId="9" fillId="0" borderId="10" xfId="0" quotePrefix="1" applyNumberFormat="1" applyFont="1" applyFill="1" applyBorder="1" applyAlignment="1">
      <alignment horizontal="left" vertical="top"/>
    </xf>
    <xf numFmtId="4" fontId="49" fillId="0" borderId="10" xfId="0" applyNumberFormat="1" applyFont="1" applyFill="1" applyBorder="1" applyAlignment="1">
      <alignment vertical="top"/>
    </xf>
    <xf numFmtId="4" fontId="49" fillId="0" borderId="18" xfId="0" applyNumberFormat="1" applyFont="1" applyFill="1" applyBorder="1" applyAlignment="1">
      <alignment vertical="top"/>
    </xf>
    <xf numFmtId="0" fontId="9" fillId="0" borderId="26" xfId="0" applyFont="1" applyFill="1" applyBorder="1" applyAlignment="1">
      <alignment vertical="top"/>
    </xf>
    <xf numFmtId="0" fontId="8" fillId="20" borderId="11" xfId="0" applyFont="1" applyFill="1" applyBorder="1" applyAlignment="1">
      <alignment vertical="top"/>
    </xf>
    <xf numFmtId="4" fontId="8" fillId="20" borderId="24" xfId="0" applyNumberFormat="1" applyFont="1" applyFill="1" applyBorder="1" applyAlignment="1">
      <alignment vertical="top"/>
    </xf>
    <xf numFmtId="4" fontId="10" fillId="20" borderId="10" xfId="0" applyNumberFormat="1" applyFont="1" applyFill="1" applyBorder="1" applyAlignment="1">
      <alignment vertical="top"/>
    </xf>
    <xf numFmtId="0" fontId="9" fillId="20" borderId="26" xfId="0" applyFont="1" applyFill="1" applyBorder="1" applyAlignment="1">
      <alignment vertical="top"/>
    </xf>
    <xf numFmtId="4" fontId="49" fillId="20" borderId="10" xfId="0" applyNumberFormat="1" applyFont="1" applyFill="1" applyBorder="1" applyAlignment="1">
      <alignment vertical="top"/>
    </xf>
    <xf numFmtId="10" fontId="9" fillId="0" borderId="10" xfId="0" applyNumberFormat="1" applyFont="1" applyFill="1" applyBorder="1" applyAlignment="1">
      <alignment horizontal="center" vertical="top"/>
    </xf>
    <xf numFmtId="0" fontId="8" fillId="20" borderId="11" xfId="0" applyFont="1" applyFill="1" applyBorder="1" applyAlignment="1" applyProtection="1">
      <alignment horizontal="left" vertical="top"/>
    </xf>
    <xf numFmtId="0" fontId="8" fillId="20" borderId="24" xfId="0" applyFont="1" applyFill="1" applyBorder="1" applyAlignment="1" applyProtection="1">
      <alignment horizontal="left" vertical="top"/>
    </xf>
    <xf numFmtId="4" fontId="9" fillId="20" borderId="10" xfId="0" applyNumberFormat="1" applyFont="1" applyFill="1" applyBorder="1" applyAlignment="1">
      <alignment vertical="top"/>
    </xf>
    <xf numFmtId="10" fontId="9" fillId="20" borderId="10" xfId="0" applyNumberFormat="1" applyFont="1" applyFill="1" applyBorder="1" applyAlignment="1">
      <alignment horizontal="center" vertical="top"/>
    </xf>
    <xf numFmtId="0" fontId="8" fillId="20" borderId="24" xfId="0" applyFont="1" applyFill="1" applyBorder="1" applyAlignment="1">
      <alignment horizontal="left" vertical="top"/>
    </xf>
    <xf numFmtId="0" fontId="46" fillId="20" borderId="24" xfId="0" applyFont="1" applyFill="1" applyBorder="1" applyAlignment="1">
      <alignment horizontal="left" vertical="top"/>
    </xf>
    <xf numFmtId="0" fontId="46" fillId="20" borderId="24" xfId="0" applyFont="1" applyFill="1" applyBorder="1" applyAlignment="1">
      <alignment horizontal="center" vertical="top"/>
    </xf>
    <xf numFmtId="0" fontId="46" fillId="20" borderId="24" xfId="0" applyFont="1" applyFill="1" applyBorder="1" applyAlignment="1">
      <alignment horizontal="center" vertical="top" wrapText="1"/>
    </xf>
    <xf numFmtId="0" fontId="46" fillId="0" borderId="10" xfId="0" applyFont="1" applyBorder="1" applyAlignment="1">
      <alignment horizontal="left" vertical="top"/>
    </xf>
    <xf numFmtId="0" fontId="46" fillId="0" borderId="10" xfId="0" applyFont="1" applyBorder="1" applyAlignment="1">
      <alignment horizontal="center" vertical="top"/>
    </xf>
    <xf numFmtId="0" fontId="46" fillId="0" borderId="10" xfId="0" applyFont="1" applyFill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0" fontId="8" fillId="20" borderId="11" xfId="0" applyFont="1" applyFill="1" applyBorder="1" applyAlignment="1">
      <alignment horizontal="left" vertical="top"/>
    </xf>
    <xf numFmtId="0" fontId="9" fillId="20" borderId="24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left" vertical="top"/>
    </xf>
    <xf numFmtId="10" fontId="9" fillId="0" borderId="24" xfId="0" applyNumberFormat="1" applyFont="1" applyFill="1" applyBorder="1" applyAlignment="1">
      <alignment horizontal="center" vertical="top"/>
    </xf>
    <xf numFmtId="4" fontId="8" fillId="0" borderId="24" xfId="0" applyNumberFormat="1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center" vertical="top"/>
    </xf>
    <xf numFmtId="10" fontId="9" fillId="0" borderId="0" xfId="0" applyNumberFormat="1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 vertical="top" wrapText="1"/>
    </xf>
    <xf numFmtId="170" fontId="8" fillId="20" borderId="11" xfId="0" applyNumberFormat="1" applyFont="1" applyFill="1" applyBorder="1" applyAlignment="1" applyProtection="1">
      <alignment horizontal="left" vertical="top"/>
    </xf>
    <xf numFmtId="1" fontId="5" fillId="0" borderId="10" xfId="0" quotePrefix="1" applyNumberFormat="1" applyFont="1" applyFill="1" applyBorder="1" applyAlignment="1">
      <alignment horizontal="center" vertical="top"/>
    </xf>
    <xf numFmtId="9" fontId="5" fillId="0" borderId="10" xfId="0" applyNumberFormat="1" applyFont="1" applyFill="1" applyBorder="1" applyAlignment="1">
      <alignment horizontal="center" vertical="top"/>
    </xf>
    <xf numFmtId="4" fontId="9" fillId="0" borderId="10" xfId="0" applyNumberFormat="1" applyFont="1" applyFill="1" applyBorder="1" applyAlignment="1">
      <alignment vertical="top" wrapText="1"/>
    </xf>
    <xf numFmtId="0" fontId="0" fillId="0" borderId="10" xfId="0" applyBorder="1" applyAlignment="1">
      <alignment vertical="top"/>
    </xf>
    <xf numFmtId="4" fontId="47" fillId="0" borderId="10" xfId="0" applyNumberFormat="1" applyFont="1" applyFill="1" applyBorder="1" applyAlignment="1">
      <alignment horizontal="center" vertical="top"/>
    </xf>
    <xf numFmtId="1" fontId="47" fillId="0" borderId="10" xfId="0" applyNumberFormat="1" applyFont="1" applyFill="1" applyBorder="1" applyAlignment="1">
      <alignment horizontal="center" vertical="top"/>
    </xf>
    <xf numFmtId="2" fontId="9" fillId="0" borderId="10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 applyProtection="1">
      <alignment horizontal="left" vertical="top" wrapText="1"/>
    </xf>
    <xf numFmtId="0" fontId="9" fillId="0" borderId="10" xfId="0" applyFont="1" applyFill="1" applyBorder="1" applyAlignment="1" applyProtection="1">
      <alignment horizontal="left" vertical="top"/>
    </xf>
    <xf numFmtId="0" fontId="49" fillId="0" borderId="10" xfId="0" applyFont="1" applyFill="1" applyBorder="1" applyAlignment="1" applyProtection="1">
      <alignment horizontal="left" vertical="top" wrapText="1"/>
    </xf>
    <xf numFmtId="0" fontId="49" fillId="0" borderId="10" xfId="0" applyFont="1" applyFill="1" applyBorder="1" applyAlignment="1" applyProtection="1">
      <alignment horizontal="left" vertical="top"/>
    </xf>
    <xf numFmtId="165" fontId="46" fillId="20" borderId="24" xfId="237" applyFont="1" applyFill="1" applyBorder="1" applyAlignment="1">
      <alignment horizontal="center" vertical="top"/>
    </xf>
    <xf numFmtId="0" fontId="9" fillId="0" borderId="11" xfId="0" applyFont="1" applyFill="1" applyBorder="1" applyAlignment="1">
      <alignment vertical="top" wrapText="1"/>
    </xf>
    <xf numFmtId="4" fontId="37" fillId="0" borderId="24" xfId="0" applyNumberFormat="1" applyFont="1" applyFill="1" applyBorder="1" applyAlignment="1">
      <alignment horizontal="center" vertical="top"/>
    </xf>
    <xf numFmtId="4" fontId="37" fillId="0" borderId="26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0" fontId="9" fillId="0" borderId="26" xfId="0" applyFont="1" applyBorder="1" applyAlignment="1">
      <alignment vertical="top"/>
    </xf>
    <xf numFmtId="0" fontId="5" fillId="20" borderId="24" xfId="0" applyFont="1" applyFill="1" applyBorder="1" applyAlignment="1">
      <alignment vertical="top" wrapText="1"/>
    </xf>
    <xf numFmtId="0" fontId="9" fillId="20" borderId="12" xfId="0" applyFont="1" applyFill="1" applyBorder="1" applyAlignment="1">
      <alignment horizontal="center" vertical="top" wrapText="1"/>
    </xf>
    <xf numFmtId="176" fontId="9" fillId="0" borderId="24" xfId="813" applyNumberFormat="1" applyFont="1" applyFill="1" applyBorder="1" applyAlignment="1">
      <alignment vertical="top" wrapText="1"/>
    </xf>
    <xf numFmtId="0" fontId="9" fillId="20" borderId="11" xfId="0" applyFont="1" applyFill="1" applyBorder="1" applyAlignment="1">
      <alignment vertical="center" wrapText="1"/>
    </xf>
    <xf numFmtId="0" fontId="0" fillId="20" borderId="10" xfId="0" applyFill="1" applyBorder="1" applyAlignment="1">
      <alignment horizontal="center" vertical="center"/>
    </xf>
    <xf numFmtId="4" fontId="10" fillId="20" borderId="10" xfId="0" applyNumberFormat="1" applyFont="1" applyFill="1" applyBorder="1" applyAlignment="1">
      <alignment vertical="center"/>
    </xf>
    <xf numFmtId="0" fontId="0" fillId="20" borderId="24" xfId="0" applyFill="1" applyBorder="1" applyAlignment="1">
      <alignment vertical="center"/>
    </xf>
    <xf numFmtId="0" fontId="9" fillId="20" borderId="24" xfId="0" applyFont="1" applyFill="1" applyBorder="1" applyAlignment="1">
      <alignment vertical="center"/>
    </xf>
    <xf numFmtId="0" fontId="9" fillId="20" borderId="12" xfId="0" applyFont="1" applyFill="1" applyBorder="1" applyAlignment="1">
      <alignment vertical="center"/>
    </xf>
    <xf numFmtId="4" fontId="10" fillId="20" borderId="12" xfId="0" applyNumberFormat="1" applyFont="1" applyFill="1" applyBorder="1" applyAlignment="1">
      <alignment vertical="center"/>
    </xf>
    <xf numFmtId="177" fontId="9" fillId="20" borderId="10" xfId="0" applyNumberFormat="1" applyFont="1" applyFill="1" applyBorder="1" applyAlignment="1">
      <alignment horizontal="center" vertical="top"/>
    </xf>
    <xf numFmtId="4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top"/>
    </xf>
    <xf numFmtId="49" fontId="74" fillId="0" borderId="0" xfId="0" applyNumberFormat="1" applyFont="1" applyFill="1" applyAlignment="1">
      <alignment horizontal="left" vertical="top"/>
    </xf>
    <xf numFmtId="0" fontId="74" fillId="0" borderId="0" xfId="0" quotePrefix="1" applyFont="1" applyFill="1" applyAlignment="1">
      <alignment horizontal="left" vertical="top"/>
    </xf>
    <xf numFmtId="49" fontId="74" fillId="0" borderId="15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/>
    </xf>
    <xf numFmtId="4" fontId="9" fillId="19" borderId="10" xfId="0" applyNumberFormat="1" applyFont="1" applyFill="1" applyBorder="1" applyAlignment="1">
      <alignment horizontal="center" vertical="center"/>
    </xf>
    <xf numFmtId="0" fontId="1" fillId="0" borderId="0" xfId="814"/>
    <xf numFmtId="0" fontId="1" fillId="0" borderId="0" xfId="814" applyAlignment="1">
      <alignment horizontal="center"/>
    </xf>
    <xf numFmtId="178" fontId="1" fillId="0" borderId="0" xfId="814" applyNumberFormat="1"/>
    <xf numFmtId="0" fontId="46" fillId="0" borderId="0" xfId="814" applyFont="1" applyAlignment="1">
      <alignment horizontal="left" vertical="top"/>
    </xf>
    <xf numFmtId="179" fontId="46" fillId="0" borderId="0" xfId="814" applyNumberFormat="1" applyFont="1" applyAlignment="1">
      <alignment horizontal="left" vertical="top"/>
    </xf>
    <xf numFmtId="179" fontId="1" fillId="0" borderId="0" xfId="814" applyNumberFormat="1"/>
    <xf numFmtId="2" fontId="10" fillId="0" borderId="10" xfId="814" applyNumberFormat="1" applyFont="1" applyBorder="1" applyAlignment="1">
      <alignment vertical="top" wrapText="1"/>
    </xf>
    <xf numFmtId="0" fontId="1" fillId="0" borderId="10" xfId="814" applyBorder="1"/>
    <xf numFmtId="0" fontId="1" fillId="0" borderId="10" xfId="814" applyBorder="1" applyAlignment="1">
      <alignment horizontal="center"/>
    </xf>
    <xf numFmtId="0" fontId="1" fillId="0" borderId="11" xfId="814" applyBorder="1"/>
    <xf numFmtId="2" fontId="12" fillId="0" borderId="10" xfId="814" applyNumberFormat="1" applyFont="1" applyBorder="1" applyAlignment="1">
      <alignment vertical="top" wrapText="1"/>
    </xf>
    <xf numFmtId="2" fontId="12" fillId="0" borderId="11" xfId="814" applyNumberFormat="1" applyFont="1" applyBorder="1" applyAlignment="1">
      <alignment vertical="top" wrapText="1"/>
    </xf>
    <xf numFmtId="2" fontId="12" fillId="0" borderId="42" xfId="814" applyNumberFormat="1" applyFont="1" applyBorder="1" applyAlignment="1">
      <alignment horizontal="center" vertical="top" wrapText="1"/>
    </xf>
    <xf numFmtId="2" fontId="12" fillId="0" borderId="10" xfId="814" applyNumberFormat="1" applyFont="1" applyBorder="1" applyAlignment="1">
      <alignment horizontal="center" vertical="top" wrapText="1"/>
    </xf>
    <xf numFmtId="2" fontId="12" fillId="0" borderId="43" xfId="814" applyNumberFormat="1" applyFont="1" applyBorder="1" applyAlignment="1">
      <alignment horizontal="center" vertical="top" wrapText="1"/>
    </xf>
    <xf numFmtId="0" fontId="46" fillId="0" borderId="10" xfId="814" applyFont="1" applyBorder="1" applyAlignment="1">
      <alignment horizontal="left" vertical="top"/>
    </xf>
    <xf numFmtId="2" fontId="46" fillId="0" borderId="10" xfId="814" applyNumberFormat="1" applyFont="1" applyBorder="1" applyAlignment="1">
      <alignment horizontal="center" vertical="top"/>
    </xf>
    <xf numFmtId="9" fontId="46" fillId="0" borderId="10" xfId="814" applyNumberFormat="1" applyFont="1" applyBorder="1" applyAlignment="1">
      <alignment horizontal="center" vertical="top"/>
    </xf>
    <xf numFmtId="2" fontId="46" fillId="0" borderId="11" xfId="814" applyNumberFormat="1" applyFont="1" applyBorder="1" applyAlignment="1">
      <alignment vertical="top"/>
    </xf>
    <xf numFmtId="4" fontId="46" fillId="0" borderId="42" xfId="814" applyNumberFormat="1" applyFont="1" applyBorder="1" applyAlignment="1">
      <alignment vertical="top"/>
    </xf>
    <xf numFmtId="4" fontId="46" fillId="0" borderId="10" xfId="814" applyNumberFormat="1" applyFont="1" applyBorder="1" applyAlignment="1">
      <alignment vertical="top"/>
    </xf>
    <xf numFmtId="0" fontId="51" fillId="0" borderId="10" xfId="814" applyFont="1" applyBorder="1"/>
    <xf numFmtId="0" fontId="51" fillId="0" borderId="43" xfId="814" applyFont="1" applyBorder="1"/>
    <xf numFmtId="2" fontId="51" fillId="0" borderId="42" xfId="814" applyNumberFormat="1" applyFont="1" applyBorder="1"/>
    <xf numFmtId="2" fontId="51" fillId="0" borderId="10" xfId="814" applyNumberFormat="1" applyFont="1" applyBorder="1"/>
    <xf numFmtId="2" fontId="51" fillId="0" borderId="43" xfId="814" applyNumberFormat="1" applyFont="1" applyBorder="1"/>
    <xf numFmtId="0" fontId="12" fillId="0" borderId="10" xfId="814" applyFont="1" applyBorder="1" applyAlignment="1">
      <alignment horizontal="left" vertical="top"/>
    </xf>
    <xf numFmtId="0" fontId="51" fillId="0" borderId="10" xfId="814" applyFont="1" applyBorder="1" applyAlignment="1">
      <alignment horizontal="center" vertical="top"/>
    </xf>
    <xf numFmtId="0" fontId="51" fillId="0" borderId="11" xfId="814" applyFont="1" applyBorder="1" applyAlignment="1">
      <alignment vertical="top"/>
    </xf>
    <xf numFmtId="0" fontId="46" fillId="0" borderId="10" xfId="815" applyFont="1" applyBorder="1">
      <alignment vertical="center"/>
    </xf>
    <xf numFmtId="4" fontId="46" fillId="19" borderId="10" xfId="814" applyNumberFormat="1" applyFont="1" applyFill="1" applyBorder="1" applyAlignment="1">
      <alignment vertical="top"/>
    </xf>
    <xf numFmtId="4" fontId="46" fillId="0" borderId="43" xfId="814" applyNumberFormat="1" applyFont="1" applyBorder="1" applyAlignment="1">
      <alignment vertical="top"/>
    </xf>
    <xf numFmtId="0" fontId="51" fillId="0" borderId="11" xfId="814" applyFont="1" applyBorder="1"/>
    <xf numFmtId="0" fontId="12" fillId="0" borderId="19" xfId="815" applyFont="1" applyBorder="1">
      <alignment vertical="center"/>
    </xf>
    <xf numFmtId="2" fontId="76" fillId="0" borderId="10" xfId="814" applyNumberFormat="1" applyFont="1" applyBorder="1" applyAlignment="1">
      <alignment horizontal="center"/>
    </xf>
    <xf numFmtId="0" fontId="76" fillId="0" borderId="0" xfId="814" applyFont="1"/>
    <xf numFmtId="4" fontId="12" fillId="0" borderId="10" xfId="814" applyNumberFormat="1" applyFont="1" applyBorder="1" applyAlignment="1">
      <alignment vertical="top"/>
    </xf>
    <xf numFmtId="0" fontId="77" fillId="0" borderId="0" xfId="815" applyFont="1">
      <alignment vertical="center"/>
    </xf>
    <xf numFmtId="2" fontId="75" fillId="19" borderId="44" xfId="814" applyNumberFormat="1" applyFont="1" applyFill="1" applyBorder="1"/>
    <xf numFmtId="2" fontId="75" fillId="0" borderId="45" xfId="814" applyNumberFormat="1" applyFont="1" applyBorder="1"/>
    <xf numFmtId="2" fontId="75" fillId="0" borderId="46" xfId="814" applyNumberFormat="1" applyFont="1" applyBorder="1"/>
    <xf numFmtId="2" fontId="1" fillId="0" borderId="0" xfId="814" applyNumberFormat="1" applyAlignment="1">
      <alignment horizontal="center"/>
    </xf>
    <xf numFmtId="0" fontId="1" fillId="32" borderId="0" xfId="816" applyFill="1" applyAlignment="1">
      <alignment vertical="center"/>
    </xf>
    <xf numFmtId="0" fontId="1" fillId="32" borderId="0" xfId="816" applyFill="1" applyAlignment="1">
      <alignment horizontal="center" vertical="center"/>
    </xf>
    <xf numFmtId="0" fontId="1" fillId="32" borderId="0" xfId="816" applyFill="1" applyAlignment="1">
      <alignment horizontal="right" vertical="center"/>
    </xf>
    <xf numFmtId="4" fontId="1" fillId="32" borderId="0" xfId="816" applyNumberFormat="1" applyFill="1" applyAlignment="1">
      <alignment horizontal="center" vertical="center"/>
    </xf>
    <xf numFmtId="2" fontId="1" fillId="32" borderId="0" xfId="816" applyNumberFormat="1" applyFill="1" applyAlignment="1">
      <alignment horizontal="center" vertical="center"/>
    </xf>
    <xf numFmtId="0" fontId="78" fillId="32" borderId="0" xfId="816" applyFont="1" applyFill="1" applyAlignment="1">
      <alignment vertical="center"/>
    </xf>
    <xf numFmtId="0" fontId="78" fillId="32" borderId="0" xfId="816" applyFont="1" applyFill="1" applyAlignment="1">
      <alignment horizontal="center" vertical="center"/>
    </xf>
    <xf numFmtId="0" fontId="78" fillId="32" borderId="0" xfId="816" applyFont="1" applyFill="1" applyAlignment="1">
      <alignment vertical="center" wrapText="1"/>
    </xf>
    <xf numFmtId="0" fontId="79" fillId="32" borderId="0" xfId="816" applyFont="1" applyFill="1" applyAlignment="1">
      <alignment vertical="center"/>
    </xf>
    <xf numFmtId="2" fontId="79" fillId="32" borderId="0" xfId="816" applyNumberFormat="1" applyFont="1" applyFill="1" applyAlignment="1">
      <alignment horizontal="center" vertical="center"/>
    </xf>
    <xf numFmtId="0" fontId="81" fillId="33" borderId="51" xfId="817" applyFont="1" applyFill="1" applyBorder="1" applyAlignment="1">
      <alignment horizontal="center" vertical="center"/>
    </xf>
    <xf numFmtId="0" fontId="81" fillId="33" borderId="51" xfId="817" applyFont="1" applyFill="1" applyBorder="1" applyAlignment="1">
      <alignment horizontal="center" vertical="center" wrapText="1"/>
    </xf>
    <xf numFmtId="164" fontId="81" fillId="33" borderId="51" xfId="818" applyFont="1" applyFill="1" applyBorder="1" applyAlignment="1">
      <alignment horizontal="center" vertical="center"/>
    </xf>
    <xf numFmtId="164" fontId="81" fillId="33" borderId="51" xfId="818" applyFont="1" applyFill="1" applyBorder="1" applyAlignment="1">
      <alignment horizontal="right" vertical="center" wrapText="1"/>
    </xf>
    <xf numFmtId="164" fontId="81" fillId="33" borderId="52" xfId="818" applyFont="1" applyFill="1" applyBorder="1" applyAlignment="1">
      <alignment horizontal="center" vertical="center" wrapText="1"/>
    </xf>
    <xf numFmtId="0" fontId="82" fillId="32" borderId="53" xfId="816" applyFont="1" applyFill="1" applyBorder="1" applyAlignment="1">
      <alignment vertical="center"/>
    </xf>
    <xf numFmtId="0" fontId="82" fillId="32" borderId="54" xfId="816" applyFont="1" applyFill="1" applyBorder="1" applyAlignment="1">
      <alignment vertical="center"/>
    </xf>
    <xf numFmtId="0" fontId="82" fillId="32" borderId="54" xfId="816" applyFont="1" applyFill="1" applyBorder="1" applyAlignment="1">
      <alignment horizontal="center" vertical="center"/>
    </xf>
    <xf numFmtId="4" fontId="82" fillId="32" borderId="54" xfId="816" applyNumberFormat="1" applyFont="1" applyFill="1" applyBorder="1" applyAlignment="1">
      <alignment horizontal="center" vertical="center"/>
    </xf>
    <xf numFmtId="4" fontId="82" fillId="32" borderId="54" xfId="816" applyNumberFormat="1" applyFont="1" applyFill="1" applyBorder="1" applyAlignment="1">
      <alignment horizontal="right" vertical="center"/>
    </xf>
    <xf numFmtId="4" fontId="82" fillId="32" borderId="55" xfId="816" applyNumberFormat="1" applyFont="1" applyFill="1" applyBorder="1" applyAlignment="1">
      <alignment horizontal="right" vertical="center"/>
    </xf>
    <xf numFmtId="0" fontId="83" fillId="32" borderId="37" xfId="816" applyFont="1" applyFill="1" applyBorder="1" applyAlignment="1">
      <alignment horizontal="center" vertical="center"/>
    </xf>
    <xf numFmtId="4" fontId="83" fillId="32" borderId="37" xfId="816" applyNumberFormat="1" applyFont="1" applyFill="1" applyBorder="1" applyAlignment="1">
      <alignment horizontal="center" vertical="center"/>
    </xf>
    <xf numFmtId="4" fontId="83" fillId="32" borderId="37" xfId="816" applyNumberFormat="1" applyFont="1" applyFill="1" applyBorder="1" applyAlignment="1">
      <alignment horizontal="right" vertical="center"/>
    </xf>
    <xf numFmtId="4" fontId="80" fillId="32" borderId="38" xfId="816" applyNumberFormat="1" applyFont="1" applyFill="1" applyBorder="1" applyAlignment="1">
      <alignment horizontal="right" vertical="center"/>
    </xf>
    <xf numFmtId="182" fontId="80" fillId="32" borderId="56" xfId="816" applyNumberFormat="1" applyFont="1" applyFill="1" applyBorder="1" applyAlignment="1">
      <alignment horizontal="left" vertical="center"/>
    </xf>
    <xf numFmtId="0" fontId="80" fillId="32" borderId="37" xfId="816" applyFont="1" applyFill="1" applyBorder="1" applyAlignment="1">
      <alignment horizontal="left" vertical="center" wrapText="1" indent="1"/>
    </xf>
    <xf numFmtId="0" fontId="80" fillId="32" borderId="37" xfId="816" applyFont="1" applyFill="1" applyBorder="1" applyAlignment="1">
      <alignment horizontal="center" vertical="center"/>
    </xf>
    <xf numFmtId="4" fontId="80" fillId="32" borderId="37" xfId="816" applyNumberFormat="1" applyFont="1" applyFill="1" applyBorder="1" applyAlignment="1">
      <alignment horizontal="center" vertical="center"/>
    </xf>
    <xf numFmtId="4" fontId="80" fillId="32" borderId="37" xfId="816" applyNumberFormat="1" applyFont="1" applyFill="1" applyBorder="1" applyAlignment="1">
      <alignment horizontal="right" vertical="center"/>
    </xf>
    <xf numFmtId="0" fontId="83" fillId="32" borderId="37" xfId="816" applyFont="1" applyFill="1" applyBorder="1" applyAlignment="1">
      <alignment horizontal="left" vertical="center" wrapText="1" indent="2"/>
    </xf>
    <xf numFmtId="4" fontId="83" fillId="32" borderId="38" xfId="816" applyNumberFormat="1" applyFont="1" applyFill="1" applyBorder="1" applyAlignment="1">
      <alignment horizontal="right" vertical="center"/>
    </xf>
    <xf numFmtId="4" fontId="84" fillId="32" borderId="0" xfId="816" applyNumberFormat="1" applyFont="1" applyFill="1" applyAlignment="1">
      <alignment vertical="center"/>
    </xf>
    <xf numFmtId="0" fontId="83" fillId="32" borderId="56" xfId="816" applyFont="1" applyFill="1" applyBorder="1" applyAlignment="1">
      <alignment vertical="center"/>
    </xf>
    <xf numFmtId="0" fontId="84" fillId="32" borderId="0" xfId="816" applyFont="1" applyFill="1" applyAlignment="1">
      <alignment vertical="center"/>
    </xf>
    <xf numFmtId="0" fontId="85" fillId="32" borderId="0" xfId="819" applyFill="1" applyAlignment="1">
      <alignment horizontal="center" vertical="center"/>
    </xf>
    <xf numFmtId="0" fontId="87" fillId="32" borderId="0" xfId="816" applyFont="1" applyFill="1" applyAlignment="1">
      <alignment vertical="center"/>
    </xf>
    <xf numFmtId="0" fontId="83" fillId="32" borderId="37" xfId="816" applyFont="1" applyFill="1" applyBorder="1" applyAlignment="1">
      <alignment horizontal="left" vertical="center" wrapText="1"/>
    </xf>
    <xf numFmtId="0" fontId="36" fillId="32" borderId="0" xfId="820" applyFont="1" applyFill="1" applyAlignment="1">
      <alignment vertical="center"/>
    </xf>
    <xf numFmtId="2" fontId="1" fillId="32" borderId="0" xfId="816" applyNumberFormat="1" applyFill="1" applyAlignment="1">
      <alignment vertical="center"/>
    </xf>
    <xf numFmtId="0" fontId="88" fillId="32" borderId="0" xfId="816" applyFont="1" applyFill="1" applyAlignment="1">
      <alignment vertical="center"/>
    </xf>
    <xf numFmtId="0" fontId="89" fillId="32" borderId="0" xfId="820" applyFont="1" applyFill="1" applyAlignment="1">
      <alignment vertical="center"/>
    </xf>
    <xf numFmtId="0" fontId="90" fillId="32" borderId="0" xfId="816" applyFont="1" applyFill="1" applyAlignment="1">
      <alignment vertical="center"/>
    </xf>
    <xf numFmtId="0" fontId="90" fillId="32" borderId="0" xfId="816" applyFont="1" applyFill="1" applyAlignment="1">
      <alignment horizontal="right" vertical="center"/>
    </xf>
    <xf numFmtId="2" fontId="90" fillId="32" borderId="0" xfId="816" applyNumberFormat="1" applyFont="1" applyFill="1" applyAlignment="1">
      <alignment vertical="center"/>
    </xf>
    <xf numFmtId="4" fontId="87" fillId="32" borderId="0" xfId="816" applyNumberFormat="1" applyFont="1" applyFill="1" applyAlignment="1">
      <alignment vertical="center"/>
    </xf>
    <xf numFmtId="0" fontId="82" fillId="32" borderId="37" xfId="816" applyFont="1" applyFill="1" applyBorder="1" applyAlignment="1">
      <alignment vertical="center" wrapText="1"/>
    </xf>
    <xf numFmtId="0" fontId="82" fillId="32" borderId="37" xfId="816" applyFont="1" applyFill="1" applyBorder="1" applyAlignment="1">
      <alignment horizontal="center" vertical="center"/>
    </xf>
    <xf numFmtId="4" fontId="82" fillId="32" borderId="37" xfId="816" applyNumberFormat="1" applyFont="1" applyFill="1" applyBorder="1" applyAlignment="1">
      <alignment horizontal="center" vertical="center"/>
    </xf>
    <xf numFmtId="4" fontId="82" fillId="32" borderId="37" xfId="816" applyNumberFormat="1" applyFont="1" applyFill="1" applyBorder="1" applyAlignment="1">
      <alignment horizontal="right" vertical="center"/>
    </xf>
    <xf numFmtId="10" fontId="1" fillId="32" borderId="0" xfId="816" applyNumberFormat="1" applyFill="1" applyAlignment="1">
      <alignment vertical="center"/>
    </xf>
    <xf numFmtId="0" fontId="83" fillId="32" borderId="57" xfId="816" applyFont="1" applyFill="1" applyBorder="1" applyAlignment="1">
      <alignment vertical="center"/>
    </xf>
    <xf numFmtId="0" fontId="83" fillId="32" borderId="58" xfId="816" applyFont="1" applyFill="1" applyBorder="1" applyAlignment="1">
      <alignment vertical="center"/>
    </xf>
    <xf numFmtId="0" fontId="83" fillId="32" borderId="58" xfId="816" applyFont="1" applyFill="1" applyBorder="1" applyAlignment="1">
      <alignment horizontal="center" vertical="center"/>
    </xf>
    <xf numFmtId="4" fontId="83" fillId="32" borderId="58" xfId="816" applyNumberFormat="1" applyFont="1" applyFill="1" applyBorder="1" applyAlignment="1">
      <alignment horizontal="center" vertical="center"/>
    </xf>
    <xf numFmtId="4" fontId="83" fillId="32" borderId="58" xfId="816" applyNumberFormat="1" applyFont="1" applyFill="1" applyBorder="1" applyAlignment="1">
      <alignment horizontal="right" vertical="center"/>
    </xf>
    <xf numFmtId="4" fontId="83" fillId="32" borderId="59" xfId="816" applyNumberFormat="1" applyFont="1" applyFill="1" applyBorder="1" applyAlignment="1">
      <alignment horizontal="right" vertical="center"/>
    </xf>
    <xf numFmtId="0" fontId="82" fillId="32" borderId="0" xfId="816" applyFont="1" applyFill="1" applyAlignment="1">
      <alignment vertical="center"/>
    </xf>
    <xf numFmtId="0" fontId="91" fillId="32" borderId="0" xfId="816" applyFont="1" applyFill="1" applyAlignment="1">
      <alignment horizontal="center" vertical="center"/>
    </xf>
    <xf numFmtId="0" fontId="82" fillId="32" borderId="0" xfId="816" applyFont="1" applyFill="1" applyAlignment="1">
      <alignment horizontal="center" vertical="center"/>
    </xf>
    <xf numFmtId="2" fontId="82" fillId="32" borderId="0" xfId="816" applyNumberFormat="1" applyFont="1" applyFill="1" applyAlignment="1">
      <alignment horizontal="right" vertical="center"/>
    </xf>
    <xf numFmtId="0" fontId="82" fillId="32" borderId="0" xfId="816" applyFont="1" applyFill="1" applyAlignment="1">
      <alignment horizontal="right" vertical="center"/>
    </xf>
    <xf numFmtId="4" fontId="80" fillId="32" borderId="60" xfId="816" applyNumberFormat="1" applyFont="1" applyFill="1" applyBorder="1" applyAlignment="1">
      <alignment horizontal="right" vertical="center"/>
    </xf>
    <xf numFmtId="16" fontId="1" fillId="32" borderId="0" xfId="816" applyNumberFormat="1" applyFill="1" applyAlignment="1">
      <alignment vertical="center"/>
    </xf>
    <xf numFmtId="4" fontId="80" fillId="32" borderId="0" xfId="816" applyNumberFormat="1" applyFont="1" applyFill="1" applyAlignment="1">
      <alignment horizontal="right" vertical="center"/>
    </xf>
    <xf numFmtId="0" fontId="75" fillId="32" borderId="0" xfId="816" applyFont="1" applyFill="1" applyAlignment="1">
      <alignment vertical="center"/>
    </xf>
    <xf numFmtId="0" fontId="83" fillId="31" borderId="56" xfId="816" applyFont="1" applyFill="1" applyBorder="1" applyAlignment="1">
      <alignment vertical="center"/>
    </xf>
    <xf numFmtId="0" fontId="80" fillId="31" borderId="37" xfId="816" applyFont="1" applyFill="1" applyBorder="1" applyAlignment="1">
      <alignment vertical="center" wrapText="1"/>
    </xf>
    <xf numFmtId="0" fontId="83" fillId="31" borderId="37" xfId="816" applyFont="1" applyFill="1" applyBorder="1" applyAlignment="1">
      <alignment horizontal="center" vertical="center"/>
    </xf>
    <xf numFmtId="4" fontId="83" fillId="31" borderId="37" xfId="816" applyNumberFormat="1" applyFont="1" applyFill="1" applyBorder="1" applyAlignment="1">
      <alignment horizontal="center" vertical="center"/>
    </xf>
    <xf numFmtId="4" fontId="83" fillId="31" borderId="37" xfId="816" applyNumberFormat="1" applyFont="1" applyFill="1" applyBorder="1" applyAlignment="1">
      <alignment horizontal="right" vertical="center"/>
    </xf>
    <xf numFmtId="4" fontId="80" fillId="31" borderId="38" xfId="816" applyNumberFormat="1" applyFont="1" applyFill="1" applyBorder="1" applyAlignment="1">
      <alignment horizontal="right" vertical="center"/>
    </xf>
    <xf numFmtId="181" fontId="80" fillId="31" borderId="56" xfId="816" applyNumberFormat="1" applyFont="1" applyFill="1" applyBorder="1" applyAlignment="1">
      <alignment horizontal="left" vertical="center"/>
    </xf>
    <xf numFmtId="0" fontId="80" fillId="31" borderId="37" xfId="816" applyFont="1" applyFill="1" applyBorder="1" applyAlignment="1">
      <alignment horizontal="left" vertical="center" wrapText="1"/>
    </xf>
    <xf numFmtId="0" fontId="80" fillId="31" borderId="37" xfId="816" applyFont="1" applyFill="1" applyBorder="1" applyAlignment="1">
      <alignment horizontal="center" vertical="center"/>
    </xf>
    <xf numFmtId="4" fontId="80" fillId="31" borderId="37" xfId="816" applyNumberFormat="1" applyFont="1" applyFill="1" applyBorder="1" applyAlignment="1">
      <alignment horizontal="center" vertical="center"/>
    </xf>
    <xf numFmtId="4" fontId="80" fillId="31" borderId="37" xfId="816" applyNumberFormat="1" applyFont="1" applyFill="1" applyBorder="1" applyAlignment="1">
      <alignment horizontal="right" vertical="center"/>
    </xf>
    <xf numFmtId="182" fontId="80" fillId="0" borderId="56" xfId="816" applyNumberFormat="1" applyFont="1" applyFill="1" applyBorder="1" applyAlignment="1">
      <alignment horizontal="left" vertical="center"/>
    </xf>
    <xf numFmtId="0" fontId="80" fillId="0" borderId="37" xfId="816" applyFont="1" applyFill="1" applyBorder="1" applyAlignment="1">
      <alignment horizontal="left" vertical="center" wrapText="1" indent="1"/>
    </xf>
    <xf numFmtId="0" fontId="80" fillId="0" borderId="37" xfId="816" applyFont="1" applyFill="1" applyBorder="1" applyAlignment="1">
      <alignment horizontal="center" vertical="center"/>
    </xf>
    <xf numFmtId="4" fontId="80" fillId="0" borderId="37" xfId="816" applyNumberFormat="1" applyFont="1" applyFill="1" applyBorder="1" applyAlignment="1">
      <alignment horizontal="center" vertical="center"/>
    </xf>
    <xf numFmtId="4" fontId="80" fillId="0" borderId="37" xfId="816" applyNumberFormat="1" applyFont="1" applyFill="1" applyBorder="1" applyAlignment="1">
      <alignment horizontal="right" vertical="center"/>
    </xf>
    <xf numFmtId="4" fontId="80" fillId="0" borderId="38" xfId="816" applyNumberFormat="1" applyFont="1" applyFill="1" applyBorder="1" applyAlignment="1">
      <alignment horizontal="right" vertical="center"/>
    </xf>
    <xf numFmtId="0" fontId="83" fillId="0" borderId="56" xfId="816" applyFont="1" applyFill="1" applyBorder="1" applyAlignment="1">
      <alignment vertical="center"/>
    </xf>
    <xf numFmtId="4" fontId="83" fillId="0" borderId="37" xfId="820" applyNumberFormat="1" applyFont="1" applyFill="1" applyBorder="1" applyAlignment="1">
      <alignment horizontal="left" vertical="center" wrapText="1" indent="2"/>
    </xf>
    <xf numFmtId="0" fontId="83" fillId="0" borderId="37" xfId="816" applyFont="1" applyFill="1" applyBorder="1" applyAlignment="1">
      <alignment horizontal="center" vertical="center"/>
    </xf>
    <xf numFmtId="4" fontId="83" fillId="0" borderId="37" xfId="816" applyNumberFormat="1" applyFont="1" applyFill="1" applyBorder="1" applyAlignment="1">
      <alignment horizontal="center" vertical="center"/>
    </xf>
    <xf numFmtId="4" fontId="83" fillId="0" borderId="37" xfId="816" applyNumberFormat="1" applyFont="1" applyFill="1" applyBorder="1" applyAlignment="1">
      <alignment horizontal="right" vertical="center"/>
    </xf>
    <xf numFmtId="4" fontId="83" fillId="0" borderId="38" xfId="816" applyNumberFormat="1" applyFont="1" applyFill="1" applyBorder="1" applyAlignment="1">
      <alignment horizontal="right" vertical="center"/>
    </xf>
    <xf numFmtId="181" fontId="80" fillId="0" borderId="56" xfId="816" applyNumberFormat="1" applyFont="1" applyFill="1" applyBorder="1" applyAlignment="1">
      <alignment horizontal="left" vertical="center"/>
    </xf>
    <xf numFmtId="0" fontId="83" fillId="0" borderId="37" xfId="816" applyFont="1" applyFill="1" applyBorder="1" applyAlignment="1">
      <alignment horizontal="left" vertical="center" wrapText="1" indent="2"/>
    </xf>
    <xf numFmtId="4" fontId="83" fillId="0" borderId="37" xfId="820" applyNumberFormat="1" applyFont="1" applyFill="1" applyBorder="1" applyAlignment="1">
      <alignment horizontal="left" vertical="center" wrapText="1"/>
    </xf>
    <xf numFmtId="0" fontId="83" fillId="0" borderId="37" xfId="816" applyFont="1" applyFill="1" applyBorder="1" applyAlignment="1">
      <alignment horizontal="left" vertical="center" wrapText="1"/>
    </xf>
    <xf numFmtId="0" fontId="83" fillId="0" borderId="37" xfId="265" applyFont="1" applyFill="1" applyBorder="1" applyAlignment="1">
      <alignment horizontal="left" vertical="center" wrapText="1" indent="2"/>
    </xf>
    <xf numFmtId="0" fontId="83" fillId="0" borderId="37" xfId="265" applyFont="1" applyFill="1" applyBorder="1" applyAlignment="1">
      <alignment horizontal="center" vertical="center"/>
    </xf>
    <xf numFmtId="4" fontId="75" fillId="0" borderId="37" xfId="265" applyNumberFormat="1" applyFont="1" applyFill="1" applyBorder="1" applyAlignment="1">
      <alignment horizontal="center" vertical="center"/>
    </xf>
    <xf numFmtId="4" fontId="83" fillId="0" borderId="37" xfId="265" applyNumberFormat="1" applyFont="1" applyFill="1" applyBorder="1" applyAlignment="1">
      <alignment horizontal="center" vertical="center"/>
    </xf>
    <xf numFmtId="0" fontId="83" fillId="0" borderId="37" xfId="816" applyFont="1" applyFill="1" applyBorder="1" applyAlignment="1">
      <alignment vertical="center" wrapText="1"/>
    </xf>
    <xf numFmtId="0" fontId="83" fillId="0" borderId="37" xfId="816" applyFont="1" applyFill="1" applyBorder="1" applyAlignment="1">
      <alignment horizontal="left" vertical="center"/>
    </xf>
    <xf numFmtId="0" fontId="86" fillId="0" borderId="37" xfId="816" applyFont="1" applyFill="1" applyBorder="1" applyAlignment="1">
      <alignment horizontal="left" vertical="center" wrapText="1" indent="1"/>
    </xf>
    <xf numFmtId="4" fontId="80" fillId="31" borderId="37" xfId="820" applyNumberFormat="1" applyFont="1" applyFill="1" applyBorder="1" applyAlignment="1">
      <alignment horizontal="left" vertical="center" wrapText="1"/>
    </xf>
    <xf numFmtId="180" fontId="80" fillId="20" borderId="56" xfId="816" applyNumberFormat="1" applyFont="1" applyFill="1" applyBorder="1" applyAlignment="1">
      <alignment horizontal="left" vertical="center"/>
    </xf>
    <xf numFmtId="0" fontId="80" fillId="20" borderId="37" xfId="816" applyFont="1" applyFill="1" applyBorder="1" applyAlignment="1">
      <alignment vertical="center" wrapText="1"/>
    </xf>
    <xf numFmtId="0" fontId="83" fillId="20" borderId="37" xfId="816" applyFont="1" applyFill="1" applyBorder="1" applyAlignment="1">
      <alignment horizontal="center" vertical="center"/>
    </xf>
    <xf numFmtId="4" fontId="83" fillId="20" borderId="37" xfId="816" applyNumberFormat="1" applyFont="1" applyFill="1" applyBorder="1" applyAlignment="1">
      <alignment horizontal="center" vertical="center"/>
    </xf>
    <xf numFmtId="4" fontId="83" fillId="20" borderId="37" xfId="816" applyNumberFormat="1" applyFont="1" applyFill="1" applyBorder="1" applyAlignment="1">
      <alignment horizontal="right" vertical="center"/>
    </xf>
    <xf numFmtId="4" fontId="80" fillId="20" borderId="38" xfId="816" applyNumberFormat="1" applyFont="1" applyFill="1" applyBorder="1" applyAlignment="1">
      <alignment horizontal="right" vertical="center"/>
    </xf>
    <xf numFmtId="170" fontId="8" fillId="22" borderId="16" xfId="0" quotePrefix="1" applyNumberFormat="1" applyFont="1" applyFill="1" applyBorder="1" applyAlignment="1">
      <alignment horizontal="left" vertical="top"/>
    </xf>
    <xf numFmtId="0" fontId="41" fillId="22" borderId="17" xfId="0" applyFont="1" applyFill="1" applyBorder="1" applyAlignment="1">
      <alignment horizontal="left" vertical="top" wrapText="1"/>
    </xf>
    <xf numFmtId="0" fontId="41" fillId="22" borderId="26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center" vertical="top"/>
    </xf>
    <xf numFmtId="0" fontId="9" fillId="0" borderId="15" xfId="0" quotePrefix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left" vertical="top"/>
    </xf>
    <xf numFmtId="0" fontId="50" fillId="0" borderId="9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vertical="center" wrapText="1"/>
    </xf>
    <xf numFmtId="9" fontId="9" fillId="0" borderId="10" xfId="0" applyNumberFormat="1" applyFont="1" applyFill="1" applyBorder="1" applyAlignment="1">
      <alignment horizontal="center" vertical="center"/>
    </xf>
    <xf numFmtId="1" fontId="9" fillId="0" borderId="10" xfId="0" quotePrefix="1" applyNumberFormat="1" applyFont="1" applyFill="1" applyBorder="1" applyAlignment="1">
      <alignment horizontal="center" vertical="center"/>
    </xf>
    <xf numFmtId="0" fontId="9" fillId="0" borderId="10" xfId="290" applyFont="1" applyFill="1" applyBorder="1" applyAlignment="1">
      <alignment horizontal="justify" vertical="center" wrapText="1"/>
    </xf>
    <xf numFmtId="0" fontId="9" fillId="0" borderId="19" xfId="0" quotePrefix="1" applyFont="1" applyFill="1" applyBorder="1" applyAlignment="1">
      <alignment horizontal="left" vertical="top"/>
    </xf>
    <xf numFmtId="0" fontId="9" fillId="0" borderId="16" xfId="0" applyFont="1" applyFill="1" applyBorder="1" applyAlignment="1">
      <alignment horizontal="left" vertical="top"/>
    </xf>
    <xf numFmtId="0" fontId="9" fillId="0" borderId="24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/>
    </xf>
    <xf numFmtId="2" fontId="9" fillId="0" borderId="24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4" fontId="8" fillId="0" borderId="17" xfId="0" applyNumberFormat="1" applyFont="1" applyFill="1" applyBorder="1" applyAlignment="1">
      <alignment horizontal="center" vertical="top"/>
    </xf>
    <xf numFmtId="1" fontId="8" fillId="34" borderId="11" xfId="0" quotePrefix="1" applyNumberFormat="1" applyFont="1" applyFill="1" applyBorder="1" applyAlignment="1">
      <alignment horizontal="left" vertical="top"/>
    </xf>
    <xf numFmtId="0" fontId="50" fillId="34" borderId="24" xfId="0" applyFont="1" applyFill="1" applyBorder="1" applyAlignment="1">
      <alignment horizontal="center" vertical="center"/>
    </xf>
    <xf numFmtId="0" fontId="40" fillId="34" borderId="26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left" vertical="top" wrapText="1"/>
    </xf>
    <xf numFmtId="4" fontId="49" fillId="0" borderId="10" xfId="0" applyNumberFormat="1" applyFont="1" applyBorder="1" applyAlignment="1">
      <alignment horizontal="center" vertical="top"/>
    </xf>
    <xf numFmtId="9" fontId="49" fillId="0" borderId="24" xfId="0" applyNumberFormat="1" applyFont="1" applyBorder="1" applyAlignment="1">
      <alignment horizontal="center" vertical="top"/>
    </xf>
    <xf numFmtId="1" fontId="49" fillId="0" borderId="24" xfId="0" quotePrefix="1" applyNumberFormat="1" applyFont="1" applyBorder="1" applyAlignment="1">
      <alignment horizontal="center" vertical="top"/>
    </xf>
    <xf numFmtId="1" fontId="93" fillId="35" borderId="24" xfId="0" applyNumberFormat="1" applyFont="1" applyFill="1" applyBorder="1" applyAlignment="1">
      <alignment horizontal="center" vertical="top"/>
    </xf>
    <xf numFmtId="9" fontId="93" fillId="35" borderId="24" xfId="0" applyNumberFormat="1" applyFont="1" applyFill="1" applyBorder="1" applyAlignment="1">
      <alignment horizontal="center" vertical="top"/>
    </xf>
    <xf numFmtId="4" fontId="93" fillId="35" borderId="26" xfId="0" applyNumberFormat="1" applyFont="1" applyFill="1" applyBorder="1" applyAlignment="1">
      <alignment horizontal="center" vertical="top"/>
    </xf>
    <xf numFmtId="1" fontId="93" fillId="35" borderId="22" xfId="0" applyNumberFormat="1" applyFont="1" applyFill="1" applyBorder="1" applyAlignment="1">
      <alignment horizontal="center" vertical="top"/>
    </xf>
    <xf numFmtId="9" fontId="93" fillId="35" borderId="22" xfId="0" applyNumberFormat="1" applyFont="1" applyFill="1" applyBorder="1" applyAlignment="1">
      <alignment horizontal="center" vertical="top"/>
    </xf>
    <xf numFmtId="4" fontId="93" fillId="35" borderId="17" xfId="0" applyNumberFormat="1" applyFont="1" applyFill="1" applyBorder="1" applyAlignment="1">
      <alignment horizontal="center" vertical="top"/>
    </xf>
    <xf numFmtId="0" fontId="49" fillId="0" borderId="9" xfId="0" applyFont="1" applyBorder="1" applyAlignment="1">
      <alignment horizontal="center" vertical="center"/>
    </xf>
    <xf numFmtId="0" fontId="9" fillId="36" borderId="11" xfId="0" applyFont="1" applyFill="1" applyBorder="1" applyAlignment="1">
      <alignment horizontal="left" vertical="top"/>
    </xf>
    <xf numFmtId="0" fontId="49" fillId="0" borderId="11" xfId="0" applyFont="1" applyBorder="1" applyAlignment="1">
      <alignment horizontal="left" vertical="top" wrapText="1"/>
    </xf>
    <xf numFmtId="1" fontId="49" fillId="0" borderId="24" xfId="0" applyNumberFormat="1" applyFont="1" applyBorder="1" applyAlignment="1">
      <alignment horizontal="center" vertical="top"/>
    </xf>
    <xf numFmtId="4" fontId="49" fillId="0" borderId="26" xfId="0" applyNumberFormat="1" applyFont="1" applyBorder="1" applyAlignment="1">
      <alignment vertical="top"/>
    </xf>
    <xf numFmtId="4" fontId="49" fillId="0" borderId="10" xfId="0" applyNumberFormat="1" applyFont="1" applyBorder="1" applyAlignment="1">
      <alignment vertical="top"/>
    </xf>
    <xf numFmtId="0" fontId="92" fillId="0" borderId="19" xfId="0" applyFont="1" applyBorder="1" applyAlignment="1">
      <alignment horizontal="center" vertical="top"/>
    </xf>
    <xf numFmtId="164" fontId="92" fillId="30" borderId="9" xfId="538" applyFont="1" applyFill="1" applyBorder="1" applyAlignment="1">
      <alignment vertical="center"/>
    </xf>
    <xf numFmtId="0" fontId="92" fillId="0" borderId="15" xfId="0" applyFont="1" applyBorder="1" applyAlignment="1">
      <alignment horizontal="left" vertical="top" wrapText="1" indent="2"/>
    </xf>
    <xf numFmtId="9" fontId="92" fillId="0" borderId="13" xfId="0" applyNumberFormat="1" applyFont="1" applyBorder="1" applyAlignment="1">
      <alignment horizontal="center" vertical="center"/>
    </xf>
    <xf numFmtId="1" fontId="92" fillId="0" borderId="23" xfId="0" quotePrefix="1" applyNumberFormat="1" applyFont="1" applyBorder="1" applyAlignment="1">
      <alignment horizontal="center" vertical="center"/>
    </xf>
    <xf numFmtId="4" fontId="92" fillId="30" borderId="23" xfId="0" applyNumberFormat="1" applyFont="1" applyFill="1" applyBorder="1" applyAlignment="1">
      <alignment vertical="center"/>
    </xf>
    <xf numFmtId="164" fontId="92" fillId="30" borderId="14" xfId="538" applyFont="1" applyFill="1" applyBorder="1" applyAlignment="1">
      <alignment vertical="center"/>
    </xf>
    <xf numFmtId="9" fontId="92" fillId="0" borderId="15" xfId="0" applyNumberFormat="1" applyFont="1" applyBorder="1" applyAlignment="1">
      <alignment horizontal="center" vertical="center"/>
    </xf>
    <xf numFmtId="170" fontId="92" fillId="0" borderId="0" xfId="0" quotePrefix="1" applyNumberFormat="1" applyFont="1" applyBorder="1" applyAlignment="1">
      <alignment horizontal="center" vertical="center"/>
    </xf>
    <xf numFmtId="4" fontId="92" fillId="30" borderId="0" xfId="0" applyNumberFormat="1" applyFont="1" applyFill="1" applyBorder="1" applyAlignment="1">
      <alignment vertical="center"/>
    </xf>
    <xf numFmtId="9" fontId="92" fillId="0" borderId="16" xfId="0" applyNumberFormat="1" applyFont="1" applyBorder="1" applyAlignment="1">
      <alignment horizontal="center" vertical="center"/>
    </xf>
    <xf numFmtId="170" fontId="92" fillId="0" borderId="22" xfId="0" quotePrefix="1" applyNumberFormat="1" applyFont="1" applyBorder="1" applyAlignment="1">
      <alignment horizontal="center" vertical="center"/>
    </xf>
    <xf numFmtId="4" fontId="92" fillId="30" borderId="22" xfId="0" applyNumberFormat="1" applyFont="1" applyFill="1" applyBorder="1" applyAlignment="1">
      <alignment vertical="center"/>
    </xf>
    <xf numFmtId="164" fontId="92" fillId="30" borderId="17" xfId="538" applyFont="1" applyFill="1" applyBorder="1" applyAlignment="1">
      <alignment vertical="center"/>
    </xf>
    <xf numFmtId="168" fontId="46" fillId="0" borderId="0" xfId="535" applyFont="1" applyAlignment="1">
      <alignment horizontal="right"/>
    </xf>
    <xf numFmtId="168" fontId="46" fillId="0" borderId="0" xfId="535" applyFont="1" applyAlignment="1"/>
    <xf numFmtId="2" fontId="46" fillId="0" borderId="0" xfId="764" applyNumberFormat="1" applyFont="1" applyFill="1" applyAlignment="1" applyProtection="1"/>
    <xf numFmtId="2" fontId="46" fillId="29" borderId="0" xfId="764" applyNumberFormat="1" applyFont="1" applyFill="1" applyAlignment="1" applyProtection="1"/>
    <xf numFmtId="183" fontId="40" fillId="0" borderId="0" xfId="193" applyNumberFormat="1" applyFont="1" applyAlignment="1">
      <alignment vertical="center"/>
    </xf>
    <xf numFmtId="183" fontId="5" fillId="0" borderId="0" xfId="290" applyNumberFormat="1"/>
    <xf numFmtId="0" fontId="9" fillId="0" borderId="10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/>
    </xf>
    <xf numFmtId="0" fontId="9" fillId="0" borderId="10" xfId="0" applyFont="1" applyFill="1" applyBorder="1" applyAlignment="1">
      <alignment horizontal="left" vertical="top" wrapText="1"/>
    </xf>
    <xf numFmtId="0" fontId="95" fillId="0" borderId="0" xfId="0" applyFont="1" applyFill="1" applyBorder="1" applyAlignment="1">
      <alignment horizontal="center" vertical="top"/>
    </xf>
    <xf numFmtId="1" fontId="96" fillId="0" borderId="11" xfId="0" applyNumberFormat="1" applyFont="1" applyBorder="1" applyAlignment="1">
      <alignment horizontal="center" vertical="top"/>
    </xf>
    <xf numFmtId="9" fontId="96" fillId="0" borderId="24" xfId="0" applyNumberFormat="1" applyFont="1" applyBorder="1" applyAlignment="1">
      <alignment horizontal="center" vertical="top"/>
    </xf>
    <xf numFmtId="1" fontId="96" fillId="0" borderId="24" xfId="0" quotePrefix="1" applyNumberFormat="1" applyFont="1" applyBorder="1" applyAlignment="1">
      <alignment horizontal="center" vertical="top"/>
    </xf>
    <xf numFmtId="4" fontId="96" fillId="0" borderId="26" xfId="0" applyNumberFormat="1" applyFont="1" applyBorder="1" applyAlignment="1">
      <alignment horizontal="center" vertical="top"/>
    </xf>
    <xf numFmtId="0" fontId="96" fillId="0" borderId="11" xfId="0" applyFont="1" applyBorder="1" applyAlignment="1">
      <alignment vertical="center"/>
    </xf>
    <xf numFmtId="0" fontId="35" fillId="0" borderId="0" xfId="0" applyFont="1" applyAlignment="1">
      <alignment vertical="top"/>
    </xf>
    <xf numFmtId="9" fontId="35" fillId="0" borderId="0" xfId="0" applyNumberFormat="1" applyFont="1" applyFill="1" applyAlignment="1">
      <alignment horizontal="center" vertical="top"/>
    </xf>
    <xf numFmtId="1" fontId="35" fillId="0" borderId="0" xfId="0" quotePrefix="1" applyNumberFormat="1" applyFont="1" applyFill="1" applyAlignment="1">
      <alignment horizontal="center" vertical="top"/>
    </xf>
    <xf numFmtId="4" fontId="35" fillId="0" borderId="0" xfId="0" applyNumberFormat="1" applyFont="1" applyFill="1" applyAlignment="1">
      <alignment horizontal="center" vertical="top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1" fontId="9" fillId="0" borderId="0" xfId="0" quotePrefix="1" applyNumberFormat="1" applyFont="1" applyFill="1" applyBorder="1" applyAlignment="1">
      <alignment horizontal="center" vertical="center"/>
    </xf>
    <xf numFmtId="0" fontId="9" fillId="0" borderId="15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wrapText="1"/>
    </xf>
    <xf numFmtId="2" fontId="46" fillId="0" borderId="0" xfId="764" applyNumberFormat="1" applyFont="1" applyFill="1" applyAlignment="1" applyProtection="1">
      <alignment horizontal="center" vertical="center"/>
    </xf>
    <xf numFmtId="168" fontId="46" fillId="0" borderId="0" xfId="535" applyFont="1" applyAlignment="1">
      <alignment horizontal="center" vertical="center"/>
    </xf>
    <xf numFmtId="2" fontId="46" fillId="29" borderId="0" xfId="764" applyNumberFormat="1" applyFont="1" applyFill="1" applyAlignment="1" applyProtection="1">
      <alignment horizontal="center" vertical="center"/>
    </xf>
    <xf numFmtId="2" fontId="46" fillId="0" borderId="0" xfId="764" applyNumberFormat="1" applyFont="1" applyFill="1" applyAlignment="1" applyProtection="1">
      <alignment horizontal="center"/>
    </xf>
    <xf numFmtId="168" fontId="46" fillId="0" borderId="0" xfId="535" applyFont="1" applyAlignment="1">
      <alignment horizontal="center"/>
    </xf>
    <xf numFmtId="2" fontId="46" fillId="29" borderId="0" xfId="764" applyNumberFormat="1" applyFont="1" applyFill="1" applyAlignment="1" applyProtection="1">
      <alignment horizontal="center"/>
    </xf>
    <xf numFmtId="0" fontId="9" fillId="0" borderId="19" xfId="0" applyFont="1" applyFill="1" applyBorder="1" applyAlignment="1">
      <alignment horizontal="left" vertical="center"/>
    </xf>
    <xf numFmtId="0" fontId="62" fillId="0" borderId="0" xfId="0" applyFont="1" applyFill="1" applyAlignment="1">
      <alignment vertical="center"/>
    </xf>
    <xf numFmtId="9" fontId="9" fillId="19" borderId="10" xfId="0" applyNumberFormat="1" applyFont="1" applyFill="1" applyBorder="1" applyAlignment="1">
      <alignment horizontal="center" vertical="top"/>
    </xf>
    <xf numFmtId="9" fontId="35" fillId="19" borderId="10" xfId="0" applyNumberFormat="1" applyFont="1" applyFill="1" applyBorder="1" applyAlignment="1">
      <alignment horizontal="center" vertical="top"/>
    </xf>
    <xf numFmtId="1" fontId="35" fillId="19" borderId="10" xfId="0" quotePrefix="1" applyNumberFormat="1" applyFont="1" applyFill="1" applyBorder="1" applyAlignment="1">
      <alignment horizontal="center" vertical="top"/>
    </xf>
    <xf numFmtId="0" fontId="9" fillId="0" borderId="19" xfId="0" quotePrefix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46" fillId="19" borderId="10" xfId="814" applyFont="1" applyFill="1" applyBorder="1" applyAlignment="1">
      <alignment horizontal="left" vertical="top"/>
    </xf>
    <xf numFmtId="164" fontId="35" fillId="0" borderId="0" xfId="812" applyFont="1"/>
    <xf numFmtId="170" fontId="8" fillId="38" borderId="11" xfId="0" quotePrefix="1" applyNumberFormat="1" applyFont="1" applyFill="1" applyBorder="1" applyAlignment="1">
      <alignment horizontal="left" vertical="top"/>
    </xf>
    <xf numFmtId="0" fontId="8" fillId="38" borderId="26" xfId="0" applyFont="1" applyFill="1" applyBorder="1" applyAlignment="1">
      <alignment horizontal="left" vertical="top" wrapText="1"/>
    </xf>
    <xf numFmtId="0" fontId="28" fillId="38" borderId="15" xfId="0" applyFont="1" applyFill="1" applyBorder="1" applyAlignment="1">
      <alignment horizontal="center" vertical="top" wrapText="1"/>
    </xf>
    <xf numFmtId="0" fontId="28" fillId="38" borderId="0" xfId="0" applyFont="1" applyFill="1" applyBorder="1" applyAlignment="1">
      <alignment horizontal="center" vertical="top"/>
    </xf>
    <xf numFmtId="0" fontId="28" fillId="38" borderId="9" xfId="0" applyFont="1" applyFill="1" applyBorder="1" applyAlignment="1">
      <alignment horizontal="center" vertical="top"/>
    </xf>
    <xf numFmtId="0" fontId="9" fillId="38" borderId="15" xfId="0" applyFont="1" applyFill="1" applyBorder="1" applyAlignment="1">
      <alignment horizontal="left" vertical="center"/>
    </xf>
    <xf numFmtId="0" fontId="9" fillId="38" borderId="10" xfId="290" applyFont="1" applyFill="1" applyBorder="1" applyAlignment="1">
      <alignment horizontal="justify" vertical="center" wrapText="1"/>
    </xf>
    <xf numFmtId="4" fontId="9" fillId="38" borderId="10" xfId="0" applyNumberFormat="1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center"/>
    </xf>
    <xf numFmtId="9" fontId="9" fillId="38" borderId="10" xfId="0" applyNumberFormat="1" applyFont="1" applyFill="1" applyBorder="1" applyAlignment="1">
      <alignment horizontal="center" vertical="center"/>
    </xf>
    <xf numFmtId="1" fontId="9" fillId="38" borderId="10" xfId="0" quotePrefix="1" applyNumberFormat="1" applyFont="1" applyFill="1" applyBorder="1" applyAlignment="1">
      <alignment horizontal="center" vertical="center"/>
    </xf>
    <xf numFmtId="0" fontId="9" fillId="38" borderId="19" xfId="0" applyFont="1" applyFill="1" applyBorder="1" applyAlignment="1">
      <alignment horizontal="left" vertical="top"/>
    </xf>
    <xf numFmtId="4" fontId="9" fillId="38" borderId="10" xfId="0" applyNumberFormat="1" applyFont="1" applyFill="1" applyBorder="1" applyAlignment="1">
      <alignment horizontal="center" vertical="top"/>
    </xf>
    <xf numFmtId="0" fontId="9" fillId="38" borderId="16" xfId="0" applyFont="1" applyFill="1" applyBorder="1" applyAlignment="1">
      <alignment horizontal="left" vertical="top"/>
    </xf>
    <xf numFmtId="0" fontId="8" fillId="38" borderId="22" xfId="0" applyFont="1" applyFill="1" applyBorder="1" applyAlignment="1">
      <alignment vertical="top"/>
    </xf>
    <xf numFmtId="0" fontId="9" fillId="38" borderId="22" xfId="0" applyFont="1" applyFill="1" applyBorder="1" applyAlignment="1">
      <alignment vertical="top"/>
    </xf>
    <xf numFmtId="0" fontId="9" fillId="38" borderId="22" xfId="0" applyFont="1" applyFill="1" applyBorder="1" applyAlignment="1">
      <alignment horizontal="center" vertical="top"/>
    </xf>
    <xf numFmtId="4" fontId="8" fillId="38" borderId="10" xfId="0" applyNumberFormat="1" applyFont="1" applyFill="1" applyBorder="1" applyAlignment="1">
      <alignment horizontal="center" vertical="top"/>
    </xf>
    <xf numFmtId="0" fontId="41" fillId="38" borderId="26" xfId="0" applyFont="1" applyFill="1" applyBorder="1" applyAlignment="1">
      <alignment horizontal="left" vertical="top" wrapText="1"/>
    </xf>
    <xf numFmtId="0" fontId="50" fillId="38" borderId="15" xfId="0" applyFont="1" applyFill="1" applyBorder="1" applyAlignment="1">
      <alignment horizontal="center" vertical="top" wrapText="1"/>
    </xf>
    <xf numFmtId="0" fontId="50" fillId="38" borderId="0" xfId="0" applyFont="1" applyFill="1" applyBorder="1" applyAlignment="1">
      <alignment horizontal="center" vertical="top"/>
    </xf>
    <xf numFmtId="0" fontId="50" fillId="38" borderId="9" xfId="0" applyFont="1" applyFill="1" applyBorder="1" applyAlignment="1">
      <alignment horizontal="center" vertical="top"/>
    </xf>
    <xf numFmtId="0" fontId="35" fillId="38" borderId="15" xfId="0" applyFont="1" applyFill="1" applyBorder="1" applyAlignment="1">
      <alignment horizontal="left" vertical="top"/>
    </xf>
    <xf numFmtId="4" fontId="35" fillId="38" borderId="10" xfId="0" applyNumberFormat="1" applyFont="1" applyFill="1" applyBorder="1" applyAlignment="1">
      <alignment horizontal="center" vertical="top"/>
    </xf>
    <xf numFmtId="0" fontId="35" fillId="38" borderId="16" xfId="0" applyFont="1" applyFill="1" applyBorder="1" applyAlignment="1">
      <alignment horizontal="left" vertical="top"/>
    </xf>
    <xf numFmtId="0" fontId="49" fillId="38" borderId="10" xfId="0" applyFont="1" applyFill="1" applyBorder="1" applyAlignment="1">
      <alignment horizontal="left" vertical="top" wrapText="1"/>
    </xf>
    <xf numFmtId="4" fontId="49" fillId="38" borderId="10" xfId="0" applyNumberFormat="1" applyFont="1" applyFill="1" applyBorder="1" applyAlignment="1">
      <alignment horizontal="center" vertical="top"/>
    </xf>
    <xf numFmtId="0" fontId="96" fillId="38" borderId="11" xfId="0" applyFont="1" applyFill="1" applyBorder="1" applyAlignment="1">
      <alignment vertical="center"/>
    </xf>
    <xf numFmtId="1" fontId="93" fillId="38" borderId="22" xfId="0" applyNumberFormat="1" applyFont="1" applyFill="1" applyBorder="1" applyAlignment="1">
      <alignment horizontal="center" vertical="top"/>
    </xf>
    <xf numFmtId="9" fontId="93" fillId="38" borderId="22" xfId="0" applyNumberFormat="1" applyFont="1" applyFill="1" applyBorder="1" applyAlignment="1">
      <alignment horizontal="center" vertical="top"/>
    </xf>
    <xf numFmtId="4" fontId="93" fillId="38" borderId="17" xfId="0" applyNumberFormat="1" applyFont="1" applyFill="1" applyBorder="1" applyAlignment="1">
      <alignment horizontal="center" vertical="top"/>
    </xf>
    <xf numFmtId="170" fontId="9" fillId="38" borderId="10" xfId="0" quotePrefix="1" applyNumberFormat="1" applyFont="1" applyFill="1" applyBorder="1" applyAlignment="1">
      <alignment horizontal="left" vertical="top"/>
    </xf>
    <xf numFmtId="4" fontId="49" fillId="38" borderId="18" xfId="0" applyNumberFormat="1" applyFont="1" applyFill="1" applyBorder="1" applyAlignment="1">
      <alignment vertical="top"/>
    </xf>
    <xf numFmtId="4" fontId="49" fillId="38" borderId="10" xfId="0" applyNumberFormat="1" applyFont="1" applyFill="1" applyBorder="1" applyAlignment="1">
      <alignment vertical="top"/>
    </xf>
    <xf numFmtId="4" fontId="9" fillId="19" borderId="11" xfId="0" applyNumberFormat="1" applyFont="1" applyFill="1" applyBorder="1" applyAlignment="1">
      <alignment horizontal="center" vertical="top"/>
    </xf>
    <xf numFmtId="4" fontId="9" fillId="19" borderId="0" xfId="0" applyNumberFormat="1" applyFont="1" applyFill="1" applyBorder="1" applyAlignment="1">
      <alignment horizontal="center" vertical="center"/>
    </xf>
    <xf numFmtId="0" fontId="9" fillId="19" borderId="0" xfId="0" applyFont="1" applyFill="1" applyBorder="1" applyAlignment="1">
      <alignment horizontal="center" vertical="top"/>
    </xf>
    <xf numFmtId="0" fontId="9" fillId="19" borderId="22" xfId="0" applyFont="1" applyFill="1" applyBorder="1" applyAlignment="1">
      <alignment horizontal="center" vertical="top"/>
    </xf>
    <xf numFmtId="4" fontId="83" fillId="19" borderId="37" xfId="816" applyNumberFormat="1" applyFont="1" applyFill="1" applyBorder="1" applyAlignment="1">
      <alignment horizontal="right" vertical="center"/>
    </xf>
    <xf numFmtId="4" fontId="80" fillId="19" borderId="37" xfId="816" applyNumberFormat="1" applyFont="1" applyFill="1" applyBorder="1" applyAlignment="1">
      <alignment horizontal="right" vertical="center"/>
    </xf>
    <xf numFmtId="4" fontId="83" fillId="19" borderId="37" xfId="818" applyNumberFormat="1" applyFont="1" applyFill="1" applyBorder="1" applyAlignment="1">
      <alignment horizontal="right" vertical="center"/>
    </xf>
    <xf numFmtId="4" fontId="83" fillId="19" borderId="37" xfId="291" applyNumberFormat="1" applyFont="1" applyFill="1" applyBorder="1" applyAlignment="1">
      <alignment horizontal="right" vertical="center"/>
    </xf>
    <xf numFmtId="2" fontId="83" fillId="19" borderId="37" xfId="265" applyNumberFormat="1" applyFont="1" applyFill="1" applyBorder="1" applyAlignment="1">
      <alignment horizontal="right" vertical="center"/>
    </xf>
    <xf numFmtId="4" fontId="82" fillId="19" borderId="37" xfId="816" applyNumberFormat="1" applyFont="1" applyFill="1" applyBorder="1" applyAlignment="1">
      <alignment horizontal="right" vertical="center"/>
    </xf>
    <xf numFmtId="4" fontId="9" fillId="19" borderId="11" xfId="0" applyNumberFormat="1" applyFont="1" applyFill="1" applyBorder="1" applyAlignment="1">
      <alignment horizontal="center" vertical="center"/>
    </xf>
    <xf numFmtId="4" fontId="9" fillId="19" borderId="26" xfId="0" applyNumberFormat="1" applyFont="1" applyFill="1" applyBorder="1" applyAlignment="1">
      <alignment vertical="top"/>
    </xf>
    <xf numFmtId="0" fontId="9" fillId="19" borderId="0" xfId="0" applyFont="1" applyFill="1" applyBorder="1" applyAlignment="1">
      <alignment vertical="top"/>
    </xf>
    <xf numFmtId="0" fontId="9" fillId="19" borderId="0" xfId="0" applyFont="1" applyFill="1" applyAlignment="1">
      <alignment vertical="top"/>
    </xf>
    <xf numFmtId="4" fontId="9" fillId="19" borderId="10" xfId="0" applyNumberFormat="1" applyFont="1" applyFill="1" applyBorder="1" applyAlignment="1">
      <alignment vertical="top"/>
    </xf>
    <xf numFmtId="0" fontId="97" fillId="0" borderId="10" xfId="0" applyFont="1" applyBorder="1" applyAlignment="1">
      <alignment horizontal="left" vertical="top" wrapText="1" indent="2"/>
    </xf>
    <xf numFmtId="4" fontId="97" fillId="0" borderId="10" xfId="0" applyNumberFormat="1" applyFont="1" applyBorder="1" applyAlignment="1">
      <alignment horizontal="center" vertical="top"/>
    </xf>
    <xf numFmtId="1" fontId="97" fillId="0" borderId="15" xfId="0" applyNumberFormat="1" applyFont="1" applyBorder="1" applyAlignment="1">
      <alignment horizontal="center" vertical="top"/>
    </xf>
    <xf numFmtId="9" fontId="97" fillId="0" borderId="0" xfId="0" applyNumberFormat="1" applyFont="1" applyAlignment="1">
      <alignment horizontal="center" vertical="top"/>
    </xf>
    <xf numFmtId="4" fontId="97" fillId="30" borderId="22" xfId="0" applyNumberFormat="1" applyFont="1" applyFill="1" applyBorder="1" applyAlignment="1">
      <alignment horizontal="center" vertical="top"/>
    </xf>
    <xf numFmtId="4" fontId="97" fillId="0" borderId="26" xfId="0" applyNumberFormat="1" applyFont="1" applyBorder="1" applyAlignment="1">
      <alignment horizontal="center" vertical="top"/>
    </xf>
    <xf numFmtId="0" fontId="97" fillId="0" borderId="15" xfId="0" applyFont="1" applyBorder="1" applyAlignment="1">
      <alignment horizontal="center" vertical="top"/>
    </xf>
    <xf numFmtId="4" fontId="97" fillId="30" borderId="23" xfId="0" applyNumberFormat="1" applyFont="1" applyFill="1" applyBorder="1" applyAlignment="1">
      <alignment horizontal="center" vertical="top"/>
    </xf>
    <xf numFmtId="4" fontId="49" fillId="19" borderId="10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vertical="top" wrapText="1"/>
    </xf>
    <xf numFmtId="0" fontId="9" fillId="0" borderId="24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/>
    </xf>
    <xf numFmtId="0" fontId="9" fillId="0" borderId="24" xfId="0" applyFont="1" applyFill="1" applyBorder="1" applyAlignment="1">
      <alignment vertical="top"/>
    </xf>
    <xf numFmtId="0" fontId="8" fillId="21" borderId="24" xfId="0" applyFont="1" applyFill="1" applyBorder="1" applyAlignment="1">
      <alignment vertical="top" wrapText="1"/>
    </xf>
    <xf numFmtId="0" fontId="9" fillId="21" borderId="24" xfId="0" applyFont="1" applyFill="1" applyBorder="1" applyAlignment="1">
      <alignment vertical="top" wrapText="1"/>
    </xf>
    <xf numFmtId="0" fontId="9" fillId="38" borderId="11" xfId="0" applyFont="1" applyFill="1" applyBorder="1" applyAlignment="1">
      <alignment horizontal="left" vertical="top" wrapText="1"/>
    </xf>
    <xf numFmtId="0" fontId="9" fillId="38" borderId="24" xfId="0" applyFont="1" applyFill="1" applyBorder="1" applyAlignment="1">
      <alignment horizontal="left" vertical="top" wrapText="1"/>
    </xf>
    <xf numFmtId="0" fontId="9" fillId="38" borderId="26" xfId="0" applyFont="1" applyFill="1" applyBorder="1" applyAlignment="1">
      <alignment horizontal="left" vertical="top" wrapText="1"/>
    </xf>
    <xf numFmtId="0" fontId="8" fillId="36" borderId="24" xfId="0" applyFont="1" applyFill="1" applyBorder="1" applyAlignment="1">
      <alignment vertical="center" wrapText="1"/>
    </xf>
    <xf numFmtId="0" fontId="0" fillId="36" borderId="24" xfId="0" applyFill="1" applyBorder="1" applyAlignment="1">
      <alignment vertical="center" wrapText="1"/>
    </xf>
    <xf numFmtId="0" fontId="0" fillId="36" borderId="12" xfId="0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20" borderId="10" xfId="0" applyFont="1" applyFill="1" applyBorder="1" applyAlignment="1">
      <alignment vertical="top"/>
    </xf>
    <xf numFmtId="0" fontId="9" fillId="20" borderId="11" xfId="0" applyFont="1" applyFill="1" applyBorder="1" applyAlignment="1">
      <alignment vertical="top"/>
    </xf>
    <xf numFmtId="0" fontId="9" fillId="0" borderId="10" xfId="0" applyFont="1" applyFill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41" fillId="34" borderId="24" xfId="0" applyFont="1" applyFill="1" applyBorder="1" applyAlignment="1">
      <alignment horizontal="left" vertical="top" wrapText="1"/>
    </xf>
    <xf numFmtId="0" fontId="5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wrapText="1"/>
    </xf>
    <xf numFmtId="0" fontId="8" fillId="20" borderId="26" xfId="0" applyFont="1" applyFill="1" applyBorder="1" applyAlignment="1">
      <alignment horizontal="left" vertical="top" wrapText="1"/>
    </xf>
    <xf numFmtId="0" fontId="8" fillId="20" borderId="10" xfId="0" applyFont="1" applyFill="1" applyBorder="1" applyAlignment="1">
      <alignment horizontal="left" vertical="top" wrapText="1"/>
    </xf>
    <xf numFmtId="0" fontId="8" fillId="20" borderId="11" xfId="0" applyFont="1" applyFill="1" applyBorder="1" applyAlignment="1">
      <alignment vertical="center" wrapText="1"/>
    </xf>
    <xf numFmtId="0" fontId="8" fillId="20" borderId="24" xfId="0" applyFont="1" applyFill="1" applyBorder="1" applyAlignment="1">
      <alignment vertical="center" wrapText="1"/>
    </xf>
    <xf numFmtId="0" fontId="8" fillId="20" borderId="12" xfId="0" applyFont="1" applyFill="1" applyBorder="1" applyAlignment="1">
      <alignment vertical="center" wrapText="1"/>
    </xf>
    <xf numFmtId="0" fontId="8" fillId="22" borderId="24" xfId="0" applyFont="1" applyFill="1" applyBorder="1" applyAlignment="1">
      <alignment vertical="top" wrapText="1"/>
    </xf>
    <xf numFmtId="0" fontId="9" fillId="22" borderId="24" xfId="0" applyFont="1" applyFill="1" applyBorder="1" applyAlignment="1">
      <alignment vertical="top" wrapText="1"/>
    </xf>
    <xf numFmtId="0" fontId="73" fillId="0" borderId="0" xfId="0" applyFont="1" applyFill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20" borderId="24" xfId="0" applyFont="1" applyFill="1" applyBorder="1" applyAlignment="1">
      <alignment vertical="center" wrapText="1"/>
    </xf>
    <xf numFmtId="0" fontId="48" fillId="18" borderId="11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/>
    </xf>
    <xf numFmtId="0" fontId="9" fillId="20" borderId="11" xfId="0" applyFont="1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9" fillId="20" borderId="24" xfId="0" applyFont="1" applyFill="1" applyBorder="1" applyAlignment="1">
      <alignment horizontal="center" vertical="top" wrapText="1"/>
    </xf>
    <xf numFmtId="0" fontId="0" fillId="20" borderId="24" xfId="0" applyFill="1" applyBorder="1" applyAlignment="1">
      <alignment vertical="top" wrapText="1"/>
    </xf>
    <xf numFmtId="0" fontId="9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8" fillId="20" borderId="24" xfId="0" applyFont="1" applyFill="1" applyBorder="1" applyAlignment="1" applyProtection="1">
      <alignment horizontal="left" vertical="top" wrapText="1"/>
    </xf>
    <xf numFmtId="0" fontId="8" fillId="20" borderId="26" xfId="0" applyFont="1" applyFill="1" applyBorder="1" applyAlignment="1" applyProtection="1">
      <alignment horizontal="left" vertical="top" wrapText="1"/>
    </xf>
    <xf numFmtId="0" fontId="0" fillId="0" borderId="12" xfId="0" applyBorder="1" applyAlignment="1">
      <alignment vertical="top" wrapText="1"/>
    </xf>
    <xf numFmtId="169" fontId="49" fillId="20" borderId="11" xfId="0" applyNumberFormat="1" applyFont="1" applyFill="1" applyBorder="1" applyAlignment="1">
      <alignment horizontal="center" vertical="center"/>
    </xf>
    <xf numFmtId="169" fontId="60" fillId="20" borderId="12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2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20" borderId="24" xfId="0" applyFont="1" applyFill="1" applyBorder="1" applyAlignment="1" applyProtection="1">
      <alignment horizontal="left" vertical="top"/>
    </xf>
    <xf numFmtId="0" fontId="8" fillId="20" borderId="26" xfId="0" applyFont="1" applyFill="1" applyBorder="1" applyAlignment="1" applyProtection="1">
      <alignment horizontal="left" vertical="top"/>
    </xf>
    <xf numFmtId="0" fontId="10" fillId="37" borderId="11" xfId="0" applyFont="1" applyFill="1" applyBorder="1" applyAlignment="1">
      <alignment vertical="top" wrapText="1"/>
    </xf>
    <xf numFmtId="0" fontId="0" fillId="37" borderId="24" xfId="0" applyFill="1" applyBorder="1" applyAlignment="1">
      <alignment wrapText="1"/>
    </xf>
    <xf numFmtId="0" fontId="0" fillId="37" borderId="12" xfId="0" applyFill="1" applyBorder="1" applyAlignment="1">
      <alignment wrapText="1"/>
    </xf>
    <xf numFmtId="0" fontId="8" fillId="0" borderId="11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20" borderId="24" xfId="0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20" borderId="11" xfId="0" applyFont="1" applyFill="1" applyBorder="1" applyAlignment="1">
      <alignment horizontal="left" vertical="top" wrapText="1"/>
    </xf>
    <xf numFmtId="0" fontId="8" fillId="20" borderId="24" xfId="0" applyFont="1" applyFill="1" applyBorder="1" applyAlignment="1">
      <alignment horizontal="left" vertical="top" wrapText="1"/>
    </xf>
    <xf numFmtId="0" fontId="10" fillId="22" borderId="11" xfId="0" applyFont="1" applyFill="1" applyBorder="1" applyAlignment="1">
      <alignment horizontal="center" vertical="top" wrapText="1"/>
    </xf>
    <xf numFmtId="0" fontId="0" fillId="22" borderId="24" xfId="0" applyFill="1" applyBorder="1" applyAlignment="1">
      <alignment horizontal="center" vertical="top" wrapText="1"/>
    </xf>
    <xf numFmtId="0" fontId="0" fillId="22" borderId="26" xfId="0" applyFill="1" applyBorder="1" applyAlignment="1">
      <alignment horizontal="center" vertical="top" wrapText="1"/>
    </xf>
    <xf numFmtId="0" fontId="80" fillId="33" borderId="47" xfId="816" applyFont="1" applyFill="1" applyBorder="1" applyAlignment="1">
      <alignment horizontal="center" vertical="center" wrapText="1"/>
    </xf>
    <xf numFmtId="0" fontId="80" fillId="33" borderId="48" xfId="816" applyFont="1" applyFill="1" applyBorder="1" applyAlignment="1">
      <alignment horizontal="center" vertical="center" wrapText="1"/>
    </xf>
    <xf numFmtId="0" fontId="80" fillId="33" borderId="49" xfId="816" applyFont="1" applyFill="1" applyBorder="1" applyAlignment="1">
      <alignment horizontal="center" vertical="center" wrapText="1"/>
    </xf>
    <xf numFmtId="0" fontId="81" fillId="33" borderId="50" xfId="817" applyFont="1" applyFill="1" applyBorder="1" applyAlignment="1">
      <alignment horizontal="center" vertical="center"/>
    </xf>
    <xf numFmtId="0" fontId="81" fillId="33" borderId="51" xfId="817" applyFont="1" applyFill="1" applyBorder="1" applyAlignment="1">
      <alignment horizontal="center" vertical="center"/>
    </xf>
    <xf numFmtId="0" fontId="1" fillId="26" borderId="0" xfId="814" applyFill="1" applyAlignment="1">
      <alignment horizontal="center"/>
    </xf>
    <xf numFmtId="179" fontId="75" fillId="0" borderId="39" xfId="814" applyNumberFormat="1" applyFont="1" applyBorder="1" applyAlignment="1">
      <alignment horizontal="center" vertical="top"/>
    </xf>
    <xf numFmtId="179" fontId="75" fillId="0" borderId="40" xfId="814" applyNumberFormat="1" applyFont="1" applyBorder="1" applyAlignment="1">
      <alignment horizontal="center" vertical="top"/>
    </xf>
    <xf numFmtId="179" fontId="75" fillId="0" borderId="41" xfId="814" applyNumberFormat="1" applyFont="1" applyBorder="1" applyAlignment="1">
      <alignment horizontal="center" vertical="top"/>
    </xf>
    <xf numFmtId="0" fontId="75" fillId="0" borderId="39" xfId="814" applyFont="1" applyBorder="1" applyAlignment="1">
      <alignment horizontal="center" vertical="top" wrapText="1"/>
    </xf>
    <xf numFmtId="0" fontId="75" fillId="0" borderId="40" xfId="814" applyFont="1" applyBorder="1" applyAlignment="1">
      <alignment horizontal="center" vertical="top" wrapText="1"/>
    </xf>
    <xf numFmtId="0" fontId="75" fillId="0" borderId="41" xfId="814" applyFont="1" applyBorder="1" applyAlignment="1">
      <alignment horizontal="center" vertical="top" wrapText="1"/>
    </xf>
    <xf numFmtId="0" fontId="40" fillId="24" borderId="10" xfId="193" applyFont="1" applyFill="1" applyBorder="1" applyAlignment="1">
      <alignment horizontal="center" vertical="center"/>
    </xf>
    <xf numFmtId="0" fontId="40" fillId="24" borderId="18" xfId="193" applyFont="1" applyFill="1" applyBorder="1" applyAlignment="1">
      <alignment horizontal="center" wrapText="1"/>
    </xf>
    <xf numFmtId="0" fontId="40" fillId="24" borderId="20" xfId="193" applyFont="1" applyFill="1" applyBorder="1" applyAlignment="1">
      <alignment horizontal="center" wrapText="1"/>
    </xf>
    <xf numFmtId="0" fontId="40" fillId="24" borderId="11" xfId="193" applyFont="1" applyFill="1" applyBorder="1" applyAlignment="1">
      <alignment horizontal="center"/>
    </xf>
    <xf numFmtId="0" fontId="40" fillId="24" borderId="12" xfId="193" applyFont="1" applyFill="1" applyBorder="1" applyAlignment="1">
      <alignment horizontal="center"/>
    </xf>
    <xf numFmtId="168" fontId="6" fillId="27" borderId="10" xfId="535" applyFont="1" applyFill="1" applyBorder="1" applyAlignment="1">
      <alignment horizontal="center" vertical="top"/>
    </xf>
  </cellXfs>
  <cellStyles count="821">
    <cellStyle name="20% - Énfasis1" xfId="1" builtinId="30" customBuiltin="1"/>
    <cellStyle name="20% - Énfasis1 2" xfId="196"/>
    <cellStyle name="20% - Énfasis1 3" xfId="504"/>
    <cellStyle name="20% - Énfasis2" xfId="2" builtinId="34" customBuiltin="1"/>
    <cellStyle name="20% - Énfasis2 2" xfId="197"/>
    <cellStyle name="20% - Énfasis2 3" xfId="505"/>
    <cellStyle name="20% - Énfasis3" xfId="3" builtinId="38" customBuiltin="1"/>
    <cellStyle name="20% - Énfasis3 2" xfId="198"/>
    <cellStyle name="20% - Énfasis3 3" xfId="506"/>
    <cellStyle name="20% - Énfasis4" xfId="4" builtinId="42" customBuiltin="1"/>
    <cellStyle name="20% - Énfasis4 2" xfId="199"/>
    <cellStyle name="20% - Énfasis4 3" xfId="507"/>
    <cellStyle name="20% - Énfasis5" xfId="5" builtinId="46" customBuiltin="1"/>
    <cellStyle name="20% - Énfasis5 2" xfId="200"/>
    <cellStyle name="20% - Énfasis5 3" xfId="508"/>
    <cellStyle name="20% - Énfasis6" xfId="6" builtinId="50" customBuiltin="1"/>
    <cellStyle name="20% - Énfasis6 2" xfId="201"/>
    <cellStyle name="20% - Énfasis6 3" xfId="509"/>
    <cellStyle name="40% - Énfasis1" xfId="7" builtinId="31" customBuiltin="1"/>
    <cellStyle name="40% - Énfasis1 2" xfId="202"/>
    <cellStyle name="40% - Énfasis1 3" xfId="510"/>
    <cellStyle name="40% - Énfasis2" xfId="8" builtinId="35" customBuiltin="1"/>
    <cellStyle name="40% - Énfasis2 2" xfId="203"/>
    <cellStyle name="40% - Énfasis2 3" xfId="511"/>
    <cellStyle name="40% - Énfasis3" xfId="9" builtinId="39" customBuiltin="1"/>
    <cellStyle name="40% - Énfasis3 2" xfId="204"/>
    <cellStyle name="40% - Énfasis3 3" xfId="512"/>
    <cellStyle name="40% - Énfasis4" xfId="10" builtinId="43" customBuiltin="1"/>
    <cellStyle name="40% - Énfasis4 2" xfId="205"/>
    <cellStyle name="40% - Énfasis4 3" xfId="513"/>
    <cellStyle name="40% - Énfasis5" xfId="11" builtinId="47" customBuiltin="1"/>
    <cellStyle name="40% - Énfasis5 2" xfId="206"/>
    <cellStyle name="40% - Énfasis5 3" xfId="514"/>
    <cellStyle name="40% - Énfasis6" xfId="12" builtinId="51" customBuiltin="1"/>
    <cellStyle name="40% - Énfasis6 2" xfId="207"/>
    <cellStyle name="40% - Énfasis6 3" xfId="515"/>
    <cellStyle name="60% - Énfasis1" xfId="13" builtinId="32" customBuiltin="1"/>
    <cellStyle name="60% - Énfasis1 2" xfId="208"/>
    <cellStyle name="60% - Énfasis1 3" xfId="516"/>
    <cellStyle name="60% - Énfasis2" xfId="14" builtinId="36" customBuiltin="1"/>
    <cellStyle name="60% - Énfasis2 2" xfId="209"/>
    <cellStyle name="60% - Énfasis2 3" xfId="517"/>
    <cellStyle name="60% - Énfasis3" xfId="15" builtinId="40" customBuiltin="1"/>
    <cellStyle name="60% - Énfasis3 2" xfId="210"/>
    <cellStyle name="60% - Énfasis3 3" xfId="518"/>
    <cellStyle name="60% - Énfasis4" xfId="16" builtinId="44" customBuiltin="1"/>
    <cellStyle name="60% - Énfasis4 2" xfId="211"/>
    <cellStyle name="60% - Énfasis4 3" xfId="519"/>
    <cellStyle name="60% - Énfasis5" xfId="17" builtinId="48" customBuiltin="1"/>
    <cellStyle name="60% - Énfasis5 2" xfId="212"/>
    <cellStyle name="60% - Énfasis5 3" xfId="520"/>
    <cellStyle name="60% - Énfasis6" xfId="18" builtinId="52" customBuiltin="1"/>
    <cellStyle name="60% - Énfasis6 2" xfId="213"/>
    <cellStyle name="60% - Énfasis6 3" xfId="521"/>
    <cellStyle name="Buena 2" xfId="214"/>
    <cellStyle name="Buena 3" xfId="522"/>
    <cellStyle name="Bueno" xfId="19" builtinId="26" customBuiltin="1"/>
    <cellStyle name="Cálculo" xfId="20" builtinId="22" customBuiltin="1"/>
    <cellStyle name="Cálculo 2" xfId="215"/>
    <cellStyle name="Cálculo 3" xfId="523"/>
    <cellStyle name="Celda de comprobación" xfId="21" builtinId="23" customBuiltin="1"/>
    <cellStyle name="Celda de comprobación 2" xfId="216"/>
    <cellStyle name="Celda de comprobación 2 2" xfId="698"/>
    <cellStyle name="Celda de comprobación 3" xfId="524"/>
    <cellStyle name="Celda vinculada" xfId="22" builtinId="24" customBuiltin="1"/>
    <cellStyle name="Celda vinculada 2" xfId="217"/>
    <cellStyle name="Celda vinculada 3" xfId="525"/>
    <cellStyle name="Comma 2" xfId="218"/>
    <cellStyle name="Comma 2 2" xfId="219"/>
    <cellStyle name="Comma 2 2 2" xfId="700"/>
    <cellStyle name="Comma 2 3" xfId="699"/>
    <cellStyle name="Encabezado 4" xfId="23" builtinId="19" customBuiltin="1"/>
    <cellStyle name="Encabezado 4 2" xfId="220"/>
    <cellStyle name="Encabezado 4 3" xfId="526"/>
    <cellStyle name="Énfasis1" xfId="24" builtinId="29" customBuiltin="1"/>
    <cellStyle name="Énfasis1 2" xfId="221"/>
    <cellStyle name="Énfasis1 3" xfId="527"/>
    <cellStyle name="Énfasis2" xfId="25" builtinId="33" customBuiltin="1"/>
    <cellStyle name="Énfasis2 2" xfId="222"/>
    <cellStyle name="Énfasis2 3" xfId="528"/>
    <cellStyle name="Énfasis3" xfId="26" builtinId="37" customBuiltin="1"/>
    <cellStyle name="Énfasis3 2" xfId="223"/>
    <cellStyle name="Énfasis3 3" xfId="529"/>
    <cellStyle name="Énfasis4" xfId="27" builtinId="41" customBuiltin="1"/>
    <cellStyle name="Énfasis4 2" xfId="224"/>
    <cellStyle name="Énfasis4 3" xfId="530"/>
    <cellStyle name="Énfasis5" xfId="28" builtinId="45" customBuiltin="1"/>
    <cellStyle name="Énfasis5 2" xfId="225"/>
    <cellStyle name="Énfasis5 3" xfId="531"/>
    <cellStyle name="Énfasis6" xfId="29" builtinId="49" customBuiltin="1"/>
    <cellStyle name="Énfasis6 2" xfId="226"/>
    <cellStyle name="Énfasis6 3" xfId="532"/>
    <cellStyle name="Entrada" xfId="30" builtinId="20" customBuiltin="1"/>
    <cellStyle name="Entrada 2" xfId="227"/>
    <cellStyle name="Entrada 3" xfId="533"/>
    <cellStyle name="Euro" xfId="31"/>
    <cellStyle name="Euro 2" xfId="32"/>
    <cellStyle name="Euro 3" xfId="228"/>
    <cellStyle name="F2" xfId="33"/>
    <cellStyle name="F2 2" xfId="34"/>
    <cellStyle name="F2 2 2" xfId="683"/>
    <cellStyle name="F2 2 3" xfId="671"/>
    <cellStyle name="F3" xfId="35"/>
    <cellStyle name="F3 2" xfId="36"/>
    <cellStyle name="F3 2 2" xfId="684"/>
    <cellStyle name="F3 2 3" xfId="672"/>
    <cellStyle name="F4" xfId="37"/>
    <cellStyle name="F4 2" xfId="38"/>
    <cellStyle name="F4 2 2" xfId="685"/>
    <cellStyle name="F4 2 3" xfId="673"/>
    <cellStyle name="F5" xfId="39"/>
    <cellStyle name="F5 2" xfId="40"/>
    <cellStyle name="F5 2 2" xfId="686"/>
    <cellStyle name="F5 2 3" xfId="674"/>
    <cellStyle name="F6" xfId="41"/>
    <cellStyle name="F6 2" xfId="42"/>
    <cellStyle name="F6 2 2" xfId="687"/>
    <cellStyle name="F6 2 3" xfId="675"/>
    <cellStyle name="F7" xfId="43"/>
    <cellStyle name="F7 2" xfId="44"/>
    <cellStyle name="F7 2 2" xfId="688"/>
    <cellStyle name="F7 2 3" xfId="676"/>
    <cellStyle name="F8" xfId="45"/>
    <cellStyle name="F8 2" xfId="46"/>
    <cellStyle name="F8 2 2" xfId="689"/>
    <cellStyle name="F8 2 3" xfId="677"/>
    <cellStyle name="Hipervínculo 2" xfId="229"/>
    <cellStyle name="Hipervínculo 3" xfId="819"/>
    <cellStyle name="Incorrecto" xfId="47" builtinId="27" customBuiltin="1"/>
    <cellStyle name="Incorrecto 2" xfId="230"/>
    <cellStyle name="Incorrecto 3" xfId="534"/>
    <cellStyle name="Millares" xfId="812" builtinId="3"/>
    <cellStyle name="Millares 10" xfId="231"/>
    <cellStyle name="Millares 10 2" xfId="232"/>
    <cellStyle name="Millares 10 2 2" xfId="233"/>
    <cellStyle name="Millares 10 2 3" xfId="818"/>
    <cellStyle name="Millares 10 3" xfId="234"/>
    <cellStyle name="Millares 10 4" xfId="235"/>
    <cellStyle name="Millares 10 5" xfId="702"/>
    <cellStyle name="Millares 11" xfId="236"/>
    <cellStyle name="Millares 11 2" xfId="703"/>
    <cellStyle name="Millares 12" xfId="535"/>
    <cellStyle name="Millares 13" xfId="701"/>
    <cellStyle name="Millares 2" xfId="48"/>
    <cellStyle name="Millares 2 10" xfId="237"/>
    <cellStyle name="Millares 2 10 2" xfId="704"/>
    <cellStyle name="Millares 2 11" xfId="238"/>
    <cellStyle name="Millares 2 2" xfId="49"/>
    <cellStyle name="Millares 2 2 2" xfId="50"/>
    <cellStyle name="Millares 2 2 2 2" xfId="51"/>
    <cellStyle name="Millares 2 2 2 2 2" xfId="538"/>
    <cellStyle name="Millares 2 2 2 2 3" xfId="706"/>
    <cellStyle name="Millares 2 2 2 3" xfId="537"/>
    <cellStyle name="Millares 2 2 2 4" xfId="705"/>
    <cellStyle name="Millares 2 2 3" xfId="536"/>
    <cellStyle name="Millares 2 3" xfId="52"/>
    <cellStyle name="Millares 2 3 2" xfId="53"/>
    <cellStyle name="Millares 2 3 2 2" xfId="54"/>
    <cellStyle name="Millares 2 3 2 2 2" xfId="541"/>
    <cellStyle name="Millares 2 3 2 2 3" xfId="708"/>
    <cellStyle name="Millares 2 3 2 3" xfId="540"/>
    <cellStyle name="Millares 2 3 2 4" xfId="707"/>
    <cellStyle name="Millares 2 3 3" xfId="539"/>
    <cellStyle name="Millares 2 4" xfId="55"/>
    <cellStyle name="Millares 2 4 2" xfId="56"/>
    <cellStyle name="Millares 2 4 2 2" xfId="57"/>
    <cellStyle name="Millares 2 4 2 2 2" xfId="544"/>
    <cellStyle name="Millares 2 4 2 2 3" xfId="710"/>
    <cellStyle name="Millares 2 4 2 3" xfId="543"/>
    <cellStyle name="Millares 2 4 2 4" xfId="709"/>
    <cellStyle name="Millares 2 4 3" xfId="542"/>
    <cellStyle name="Millares 2 5" xfId="58"/>
    <cellStyle name="Millares 2 5 2" xfId="59"/>
    <cellStyle name="Millares 2 5 2 2" xfId="60"/>
    <cellStyle name="Millares 2 5 2 2 2" xfId="547"/>
    <cellStyle name="Millares 2 5 2 2 3" xfId="712"/>
    <cellStyle name="Millares 2 5 2 3" xfId="546"/>
    <cellStyle name="Millares 2 5 2 4" xfId="711"/>
    <cellStyle name="Millares 2 5 3" xfId="545"/>
    <cellStyle name="Millares 2 6" xfId="61"/>
    <cellStyle name="Millares 2 6 2" xfId="62"/>
    <cellStyle name="Millares 2 6 2 2" xfId="63"/>
    <cellStyle name="Millares 2 6 2 2 2" xfId="550"/>
    <cellStyle name="Millares 2 6 2 2 3" xfId="714"/>
    <cellStyle name="Millares 2 6 2 3" xfId="549"/>
    <cellStyle name="Millares 2 6 2 4" xfId="713"/>
    <cellStyle name="Millares 2 6 3" xfId="548"/>
    <cellStyle name="Millares 2 7" xfId="64"/>
    <cellStyle name="Millares 2 7 2" xfId="65"/>
    <cellStyle name="Millares 2 7 2 2" xfId="66"/>
    <cellStyle name="Millares 2 7 2 2 2" xfId="553"/>
    <cellStyle name="Millares 2 7 2 2 3" xfId="716"/>
    <cellStyle name="Millares 2 7 2 3" xfId="552"/>
    <cellStyle name="Millares 2 7 2 4" xfId="715"/>
    <cellStyle name="Millares 2 7 3" xfId="551"/>
    <cellStyle name="Millares 2 8" xfId="239"/>
    <cellStyle name="Millares 2 8 2" xfId="240"/>
    <cellStyle name="Millares 2 8 3" xfId="690"/>
    <cellStyle name="Millares 2 8 4" xfId="717"/>
    <cellStyle name="Millares 2 9" xfId="241"/>
    <cellStyle name="Millares 2 9 2" xfId="718"/>
    <cellStyle name="Millares 3" xfId="242"/>
    <cellStyle name="Millares 3 10" xfId="67"/>
    <cellStyle name="Millares 3 10 2" xfId="68"/>
    <cellStyle name="Millares 3 10 2 2" xfId="69"/>
    <cellStyle name="Millares 3 10 2 2 2" xfId="556"/>
    <cellStyle name="Millares 3 10 2 2 3" xfId="721"/>
    <cellStyle name="Millares 3 10 2 3" xfId="555"/>
    <cellStyle name="Millares 3 10 2 4" xfId="720"/>
    <cellStyle name="Millares 3 10 3" xfId="554"/>
    <cellStyle name="Millares 3 11" xfId="70"/>
    <cellStyle name="Millares 3 11 2" xfId="71"/>
    <cellStyle name="Millares 3 11 2 2" xfId="72"/>
    <cellStyle name="Millares 3 11 2 2 2" xfId="559"/>
    <cellStyle name="Millares 3 11 2 2 3" xfId="723"/>
    <cellStyle name="Millares 3 11 2 3" xfId="558"/>
    <cellStyle name="Millares 3 11 2 4" xfId="722"/>
    <cellStyle name="Millares 3 11 3" xfId="557"/>
    <cellStyle name="Millares 3 12" xfId="73"/>
    <cellStyle name="Millares 3 12 2" xfId="74"/>
    <cellStyle name="Millares 3 12 2 2" xfId="561"/>
    <cellStyle name="Millares 3 12 2 3" xfId="724"/>
    <cellStyle name="Millares 3 12 3" xfId="560"/>
    <cellStyle name="Millares 3 13" xfId="75"/>
    <cellStyle name="Millares 3 13 2" xfId="76"/>
    <cellStyle name="Millares 3 13 2 2" xfId="563"/>
    <cellStyle name="Millares 3 13 2 3" xfId="725"/>
    <cellStyle name="Millares 3 13 3" xfId="562"/>
    <cellStyle name="Millares 3 14" xfId="77"/>
    <cellStyle name="Millares 3 14 2" xfId="78"/>
    <cellStyle name="Millares 3 14 2 2" xfId="565"/>
    <cellStyle name="Millares 3 14 2 3" xfId="726"/>
    <cellStyle name="Millares 3 14 3" xfId="564"/>
    <cellStyle name="Millares 3 15" xfId="79"/>
    <cellStyle name="Millares 3 15 2" xfId="80"/>
    <cellStyle name="Millares 3 15 2 2" xfId="567"/>
    <cellStyle name="Millares 3 15 2 3" xfId="727"/>
    <cellStyle name="Millares 3 15 3" xfId="566"/>
    <cellStyle name="Millares 3 16" xfId="81"/>
    <cellStyle name="Millares 3 16 2" xfId="82"/>
    <cellStyle name="Millares 3 16 2 2" xfId="569"/>
    <cellStyle name="Millares 3 16 2 3" xfId="728"/>
    <cellStyle name="Millares 3 16 3" xfId="568"/>
    <cellStyle name="Millares 3 17" xfId="83"/>
    <cellStyle name="Millares 3 17 2" xfId="84"/>
    <cellStyle name="Millares 3 17 2 2" xfId="571"/>
    <cellStyle name="Millares 3 17 2 3" xfId="729"/>
    <cellStyle name="Millares 3 17 3" xfId="570"/>
    <cellStyle name="Millares 3 18" xfId="85"/>
    <cellStyle name="Millares 3 18 2" xfId="572"/>
    <cellStyle name="Millares 3 18 3" xfId="730"/>
    <cellStyle name="Millares 3 19" xfId="86"/>
    <cellStyle name="Millares 3 19 2" xfId="573"/>
    <cellStyle name="Millares 3 19 3" xfId="731"/>
    <cellStyle name="Millares 3 2" xfId="87"/>
    <cellStyle name="Millares 3 2 2" xfId="88"/>
    <cellStyle name="Millares 3 2 2 2" xfId="89"/>
    <cellStyle name="Millares 3 2 2 2 2" xfId="576"/>
    <cellStyle name="Millares 3 2 2 2 3" xfId="733"/>
    <cellStyle name="Millares 3 2 2 3" xfId="575"/>
    <cellStyle name="Millares 3 2 2 4" xfId="732"/>
    <cellStyle name="Millares 3 2 3" xfId="574"/>
    <cellStyle name="Millares 3 20" xfId="194"/>
    <cellStyle name="Millares 3 20 2" xfId="243"/>
    <cellStyle name="Millares 3 20 3" xfId="696"/>
    <cellStyle name="Millares 3 20 4" xfId="734"/>
    <cellStyle name="Millares 3 21" xfId="244"/>
    <cellStyle name="Millares 3 21 2" xfId="245"/>
    <cellStyle name="Millares 3 21 3" xfId="735"/>
    <cellStyle name="Millares 3 22" xfId="246"/>
    <cellStyle name="Millares 3 22 2" xfId="247"/>
    <cellStyle name="Millares 3 22 3" xfId="736"/>
    <cellStyle name="Millares 3 23" xfId="248"/>
    <cellStyle name="Millares 3 23 2" xfId="249"/>
    <cellStyle name="Millares 3 23 3" xfId="737"/>
    <cellStyle name="Millares 3 23 4" xfId="769"/>
    <cellStyle name="Millares 3 24" xfId="250"/>
    <cellStyle name="Millares 3 25" xfId="251"/>
    <cellStyle name="Millares 3 26" xfId="719"/>
    <cellStyle name="Millares 3 3" xfId="90"/>
    <cellStyle name="Millares 3 3 2" xfId="91"/>
    <cellStyle name="Millares 3 3 2 2" xfId="92"/>
    <cellStyle name="Millares 3 3 2 2 2" xfId="579"/>
    <cellStyle name="Millares 3 3 2 2 3" xfId="739"/>
    <cellStyle name="Millares 3 3 2 3" xfId="578"/>
    <cellStyle name="Millares 3 3 2 4" xfId="738"/>
    <cellStyle name="Millares 3 3 3" xfId="577"/>
    <cellStyle name="Millares 3 4" xfId="93"/>
    <cellStyle name="Millares 3 4 2" xfId="94"/>
    <cellStyle name="Millares 3 4 2 2" xfId="95"/>
    <cellStyle name="Millares 3 4 2 2 2" xfId="582"/>
    <cellStyle name="Millares 3 4 2 2 3" xfId="741"/>
    <cellStyle name="Millares 3 4 2 3" xfId="581"/>
    <cellStyle name="Millares 3 4 2 4" xfId="740"/>
    <cellStyle name="Millares 3 4 3" xfId="580"/>
    <cellStyle name="Millares 3 5" xfId="96"/>
    <cellStyle name="Millares 3 5 2" xfId="97"/>
    <cellStyle name="Millares 3 5 2 2" xfId="98"/>
    <cellStyle name="Millares 3 5 2 2 2" xfId="585"/>
    <cellStyle name="Millares 3 5 2 2 3" xfId="743"/>
    <cellStyle name="Millares 3 5 2 3" xfId="584"/>
    <cellStyle name="Millares 3 5 2 4" xfId="742"/>
    <cellStyle name="Millares 3 5 3" xfId="583"/>
    <cellStyle name="Millares 3 6" xfId="99"/>
    <cellStyle name="Millares 3 6 2" xfId="100"/>
    <cellStyle name="Millares 3 6 2 2" xfId="101"/>
    <cellStyle name="Millares 3 6 2 2 2" xfId="588"/>
    <cellStyle name="Millares 3 6 2 2 3" xfId="745"/>
    <cellStyle name="Millares 3 6 2 3" xfId="587"/>
    <cellStyle name="Millares 3 6 2 4" xfId="744"/>
    <cellStyle name="Millares 3 6 3" xfId="586"/>
    <cellStyle name="Millares 3 7" xfId="102"/>
    <cellStyle name="Millares 3 7 2" xfId="103"/>
    <cellStyle name="Millares 3 7 2 2" xfId="104"/>
    <cellStyle name="Millares 3 7 2 2 2" xfId="591"/>
    <cellStyle name="Millares 3 7 2 2 3" xfId="747"/>
    <cellStyle name="Millares 3 7 2 3" xfId="590"/>
    <cellStyle name="Millares 3 7 2 4" xfId="746"/>
    <cellStyle name="Millares 3 7 3" xfId="589"/>
    <cellStyle name="Millares 3 8" xfId="105"/>
    <cellStyle name="Millares 3 8 2" xfId="106"/>
    <cellStyle name="Millares 3 8 2 2" xfId="107"/>
    <cellStyle name="Millares 3 8 2 2 2" xfId="594"/>
    <cellStyle name="Millares 3 8 2 2 3" xfId="749"/>
    <cellStyle name="Millares 3 8 2 3" xfId="593"/>
    <cellStyle name="Millares 3 8 2 4" xfId="748"/>
    <cellStyle name="Millares 3 8 3" xfId="592"/>
    <cellStyle name="Millares 3 9" xfId="108"/>
    <cellStyle name="Millares 3 9 2" xfId="109"/>
    <cellStyle name="Millares 3 9 2 2" xfId="110"/>
    <cellStyle name="Millares 3 9 2 2 2" xfId="597"/>
    <cellStyle name="Millares 3 9 2 2 3" xfId="751"/>
    <cellStyle name="Millares 3 9 2 3" xfId="596"/>
    <cellStyle name="Millares 3 9 2 4" xfId="750"/>
    <cellStyle name="Millares 3 9 3" xfId="595"/>
    <cellStyle name="Millares 4" xfId="252"/>
    <cellStyle name="Millares 4 2" xfId="253"/>
    <cellStyle name="Millares 4 2 2" xfId="753"/>
    <cellStyle name="Millares 4 3" xfId="254"/>
    <cellStyle name="Millares 4 4" xfId="255"/>
    <cellStyle name="Millares 4 5" xfId="752"/>
    <cellStyle name="Millares 5" xfId="256"/>
    <cellStyle name="Millares 5 2" xfId="257"/>
    <cellStyle name="Millares 5 2 2" xfId="755"/>
    <cellStyle name="Millares 5 3" xfId="258"/>
    <cellStyle name="Millares 5 3 2" xfId="756"/>
    <cellStyle name="Millares 5 4" xfId="754"/>
    <cellStyle name="Millares 6" xfId="259"/>
    <cellStyle name="Millares 6 2" xfId="757"/>
    <cellStyle name="Millares 7" xfId="260"/>
    <cellStyle name="Millares 7 2" xfId="758"/>
    <cellStyle name="Millares 8" xfId="261"/>
    <cellStyle name="Millares 8 2" xfId="262"/>
    <cellStyle name="Millares 8 3" xfId="263"/>
    <cellStyle name="Millares 8 4" xfId="759"/>
    <cellStyle name="Millares 9" xfId="111"/>
    <cellStyle name="Millares 9 2" xfId="112"/>
    <cellStyle name="Millares 9 2 2" xfId="599"/>
    <cellStyle name="Millares 9 2 3" xfId="761"/>
    <cellStyle name="Millares 9 3" xfId="598"/>
    <cellStyle name="Millares 9 4" xfId="760"/>
    <cellStyle name="Neutral" xfId="113" builtinId="28" customBuiltin="1"/>
    <cellStyle name="Neutral 2" xfId="264"/>
    <cellStyle name="Neutral 3" xfId="600"/>
    <cellStyle name="Normal" xfId="0" builtinId="0"/>
    <cellStyle name="Normal 10" xfId="265"/>
    <cellStyle name="Normal 11" xfId="266"/>
    <cellStyle name="Normal 12" xfId="267"/>
    <cellStyle name="Normal 12 10" xfId="114"/>
    <cellStyle name="Normal 12 10 2" xfId="601"/>
    <cellStyle name="Normal 12 11" xfId="115"/>
    <cellStyle name="Normal 12 11 2" xfId="602"/>
    <cellStyle name="Normal 12 12" xfId="116"/>
    <cellStyle name="Normal 12 12 2" xfId="603"/>
    <cellStyle name="Normal 12 13" xfId="117"/>
    <cellStyle name="Normal 12 13 2" xfId="604"/>
    <cellStyle name="Normal 12 14" xfId="118"/>
    <cellStyle name="Normal 12 14 2" xfId="605"/>
    <cellStyle name="Normal 12 15" xfId="119"/>
    <cellStyle name="Normal 12 15 2" xfId="606"/>
    <cellStyle name="Normal 12 16" xfId="120"/>
    <cellStyle name="Normal 12 16 2" xfId="607"/>
    <cellStyle name="Normal 12 17" xfId="121"/>
    <cellStyle name="Normal 12 17 2" xfId="608"/>
    <cellStyle name="Normal 12 18" xfId="268"/>
    <cellStyle name="Normal 12 18 2" xfId="269"/>
    <cellStyle name="Normal 12 19" xfId="270"/>
    <cellStyle name="Normal 12 2" xfId="122"/>
    <cellStyle name="Normal 12 2 2" xfId="609"/>
    <cellStyle name="Normal 12 20" xfId="271"/>
    <cellStyle name="Normal 12 21" xfId="272"/>
    <cellStyle name="Normal 12 21 2" xfId="273"/>
    <cellStyle name="Normal 12 21 3" xfId="762"/>
    <cellStyle name="Normal 12 3" xfId="123"/>
    <cellStyle name="Normal 12 3 2" xfId="610"/>
    <cellStyle name="Normal 12 4" xfId="124"/>
    <cellStyle name="Normal 12 4 2" xfId="611"/>
    <cellStyle name="Normal 12 5" xfId="125"/>
    <cellStyle name="Normal 12 5 2" xfId="612"/>
    <cellStyle name="Normal 12 6" xfId="126"/>
    <cellStyle name="Normal 12 6 2" xfId="613"/>
    <cellStyle name="Normal 12 7" xfId="127"/>
    <cellStyle name="Normal 12 7 2" xfId="614"/>
    <cellStyle name="Normal 12 8" xfId="128"/>
    <cellStyle name="Normal 12 8 2" xfId="615"/>
    <cellStyle name="Normal 12 9" xfId="129"/>
    <cellStyle name="Normal 12 9 2" xfId="616"/>
    <cellStyle name="Normal 13" xfId="274"/>
    <cellStyle name="Normal 14" xfId="275"/>
    <cellStyle name="Normal 14 2" xfId="276"/>
    <cellStyle name="Normal 14 3" xfId="277"/>
    <cellStyle name="Normal 14 4" xfId="763"/>
    <cellStyle name="Normal 15" xfId="503"/>
    <cellStyle name="Normal 15 2" xfId="764"/>
    <cellStyle name="Normal 16" xfId="278"/>
    <cellStyle name="Normal 16 10" xfId="279"/>
    <cellStyle name="Normal 16 11" xfId="280"/>
    <cellStyle name="Normal 16 2" xfId="130"/>
    <cellStyle name="Normal 16 2 2" xfId="617"/>
    <cellStyle name="Normal 16 3" xfId="131"/>
    <cellStyle name="Normal 16 3 2" xfId="618"/>
    <cellStyle name="Normal 16 4" xfId="132"/>
    <cellStyle name="Normal 16 4 2" xfId="619"/>
    <cellStyle name="Normal 16 5" xfId="133"/>
    <cellStyle name="Normal 16 5 2" xfId="620"/>
    <cellStyle name="Normal 16 6" xfId="134"/>
    <cellStyle name="Normal 16 6 2" xfId="621"/>
    <cellStyle name="Normal 16 7" xfId="135"/>
    <cellStyle name="Normal 16 7 2" xfId="622"/>
    <cellStyle name="Normal 16 8" xfId="136"/>
    <cellStyle name="Normal 16 8 2" xfId="623"/>
    <cellStyle name="Normal 16 9" xfId="281"/>
    <cellStyle name="Normal 17" xfId="282"/>
    <cellStyle name="Normal 17 10" xfId="283"/>
    <cellStyle name="Normal 17 11" xfId="284"/>
    <cellStyle name="Normal 17 12" xfId="285"/>
    <cellStyle name="Normal 17 2" xfId="137"/>
    <cellStyle name="Normal 17 2 2" xfId="624"/>
    <cellStyle name="Normal 17 3" xfId="138"/>
    <cellStyle name="Normal 17 3 2" xfId="625"/>
    <cellStyle name="Normal 17 4" xfId="139"/>
    <cellStyle name="Normal 17 4 2" xfId="626"/>
    <cellStyle name="Normal 17 5" xfId="140"/>
    <cellStyle name="Normal 17 5 2" xfId="627"/>
    <cellStyle name="Normal 17 6" xfId="141"/>
    <cellStyle name="Normal 17 6 2" xfId="628"/>
    <cellStyle name="Normal 17 7" xfId="142"/>
    <cellStyle name="Normal 17 7 2" xfId="629"/>
    <cellStyle name="Normal 17 8" xfId="143"/>
    <cellStyle name="Normal 17 8 2" xfId="630"/>
    <cellStyle name="Normal 17 9" xfId="144"/>
    <cellStyle name="Normal 17 9 2" xfId="631"/>
    <cellStyle name="Normal 18" xfId="765"/>
    <cellStyle name="Normal 18 2" xfId="766"/>
    <cellStyle name="Normal 19" xfId="286"/>
    <cellStyle name="Normal 19 2" xfId="145"/>
    <cellStyle name="Normal 19 2 2" xfId="632"/>
    <cellStyle name="Normal 19 3" xfId="146"/>
    <cellStyle name="Normal 19 3 2" xfId="633"/>
    <cellStyle name="Normal 19 4" xfId="147"/>
    <cellStyle name="Normal 19 4 2" xfId="634"/>
    <cellStyle name="Normal 19 5" xfId="148"/>
    <cellStyle name="Normal 19 5 2" xfId="635"/>
    <cellStyle name="Normal 19 6" xfId="287"/>
    <cellStyle name="Normal 19 7" xfId="288"/>
    <cellStyle name="Normal 19 8" xfId="289"/>
    <cellStyle name="Normal 2" xfId="149"/>
    <cellStyle name="Normal 2 2" xfId="290"/>
    <cellStyle name="Normal 2 2 2" xfId="291"/>
    <cellStyle name="Normal 2 2 2 2" xfId="292"/>
    <cellStyle name="Normal 2 2 2 2 2" xfId="767"/>
    <cellStyle name="Normal 2 2 3" xfId="293"/>
    <cellStyle name="Normal 2 3" xfId="294"/>
    <cellStyle name="Normal 2 3 3" xfId="820"/>
    <cellStyle name="Normal 2 4" xfId="295"/>
    <cellStyle name="Normal 2 5" xfId="296"/>
    <cellStyle name="Normal 2 6" xfId="193"/>
    <cellStyle name="Normal 2 6 2" xfId="297"/>
    <cellStyle name="Normal 2 6 3" xfId="768"/>
    <cellStyle name="Normal 2 7" xfId="298"/>
    <cellStyle name="Normal 20" xfId="299"/>
    <cellStyle name="Normal 20 2" xfId="150"/>
    <cellStyle name="Normal 20 2 2" xfId="636"/>
    <cellStyle name="Normal 20 3" xfId="151"/>
    <cellStyle name="Normal 20 3 2" xfId="637"/>
    <cellStyle name="Normal 20 4" xfId="152"/>
    <cellStyle name="Normal 20 4 2" xfId="638"/>
    <cellStyle name="Normal 20 5" xfId="153"/>
    <cellStyle name="Normal 20 5 2" xfId="639"/>
    <cellStyle name="Normal 20 6" xfId="300"/>
    <cellStyle name="Normal 20 7" xfId="301"/>
    <cellStyle name="Normal 20 8" xfId="302"/>
    <cellStyle name="Normal 21" xfId="303"/>
    <cellStyle name="Normal 21 2" xfId="154"/>
    <cellStyle name="Normal 21 2 2" xfId="640"/>
    <cellStyle name="Normal 21 3" xfId="155"/>
    <cellStyle name="Normal 21 3 2" xfId="641"/>
    <cellStyle name="Normal 21 4" xfId="156"/>
    <cellStyle name="Normal 21 4 2" xfId="642"/>
    <cellStyle name="Normal 21 5" xfId="157"/>
    <cellStyle name="Normal 21 5 2" xfId="643"/>
    <cellStyle name="Normal 21 6" xfId="304"/>
    <cellStyle name="Normal 21 7" xfId="305"/>
    <cellStyle name="Normal 21 8" xfId="306"/>
    <cellStyle name="Normal 22" xfId="307"/>
    <cellStyle name="Normal 22 2" xfId="158"/>
    <cellStyle name="Normal 22 2 2" xfId="644"/>
    <cellStyle name="Normal 22 3" xfId="159"/>
    <cellStyle name="Normal 22 3 2" xfId="645"/>
    <cellStyle name="Normal 22 4" xfId="160"/>
    <cellStyle name="Normal 22 4 2" xfId="646"/>
    <cellStyle name="Normal 22 5" xfId="161"/>
    <cellStyle name="Normal 22 5 2" xfId="647"/>
    <cellStyle name="Normal 22 6" xfId="308"/>
    <cellStyle name="Normal 22 7" xfId="309"/>
    <cellStyle name="Normal 22 8" xfId="310"/>
    <cellStyle name="Normal 23" xfId="311"/>
    <cellStyle name="Normal 23 2" xfId="162"/>
    <cellStyle name="Normal 23 2 2" xfId="648"/>
    <cellStyle name="Normal 23 3" xfId="312"/>
    <cellStyle name="Normal 23 4" xfId="313"/>
    <cellStyle name="Normal 23 5" xfId="314"/>
    <cellStyle name="Normal 24" xfId="315"/>
    <cellStyle name="Normal 24 2" xfId="163"/>
    <cellStyle name="Normal 24 2 2" xfId="649"/>
    <cellStyle name="Normal 24 3" xfId="316"/>
    <cellStyle name="Normal 24 4" xfId="317"/>
    <cellStyle name="Normal 24 5" xfId="318"/>
    <cellStyle name="Normal 25" xfId="319"/>
    <cellStyle name="Normal 25 2" xfId="164"/>
    <cellStyle name="Normal 25 2 2" xfId="650"/>
    <cellStyle name="Normal 25 3" xfId="320"/>
    <cellStyle name="Normal 25 4" xfId="321"/>
    <cellStyle name="Normal 25 5" xfId="322"/>
    <cellStyle name="Normal 26" xfId="323"/>
    <cellStyle name="Normal 26 2" xfId="165"/>
    <cellStyle name="Normal 26 2 2" xfId="651"/>
    <cellStyle name="Normal 26 3" xfId="166"/>
    <cellStyle name="Normal 26 3 2" xfId="652"/>
    <cellStyle name="Normal 26 4" xfId="324"/>
    <cellStyle name="Normal 26 5" xfId="325"/>
    <cellStyle name="Normal 26 6" xfId="326"/>
    <cellStyle name="Normal 27" xfId="327"/>
    <cellStyle name="Normal 27 2" xfId="167"/>
    <cellStyle name="Normal 27 2 2" xfId="653"/>
    <cellStyle name="Normal 27 3" xfId="168"/>
    <cellStyle name="Normal 27 3 2" xfId="654"/>
    <cellStyle name="Normal 27 4" xfId="328"/>
    <cellStyle name="Normal 27 5" xfId="329"/>
    <cellStyle name="Normal 27 6" xfId="330"/>
    <cellStyle name="Normal 28" xfId="697"/>
    <cellStyle name="Normal 28 2" xfId="816"/>
    <cellStyle name="Normal 3" xfId="169"/>
    <cellStyle name="Normal 3 2" xfId="331"/>
    <cellStyle name="Normal 3 2 2" xfId="332"/>
    <cellStyle name="Normal 3 2 2 2" xfId="333"/>
    <cellStyle name="Normal 3 2 2 2 2" xfId="334"/>
    <cellStyle name="Normal 3 2 2 2 3" xfId="335"/>
    <cellStyle name="Normal 3 2 2 2 4" xfId="771"/>
    <cellStyle name="Normal 3 2 2 3" xfId="336"/>
    <cellStyle name="Normal 3 2 2 3 2" xfId="337"/>
    <cellStyle name="Normal 3 2 2 3 3" xfId="338"/>
    <cellStyle name="Normal 3 2 2 3 4" xfId="772"/>
    <cellStyle name="Normal 3 2 2 4" xfId="339"/>
    <cellStyle name="Normal 3 2 2 5" xfId="340"/>
    <cellStyle name="Normal 3 2 2 6" xfId="770"/>
    <cellStyle name="Normal 3 2 3" xfId="341"/>
    <cellStyle name="Normal 3 2 3 2" xfId="342"/>
    <cellStyle name="Normal 3 2 3 3" xfId="343"/>
    <cellStyle name="Normal 3 2 3 4" xfId="773"/>
    <cellStyle name="Normal 3 2 4" xfId="344"/>
    <cellStyle name="Normal 3 2 4 2" xfId="345"/>
    <cellStyle name="Normal 3 2 4 3" xfId="346"/>
    <cellStyle name="Normal 3 2 4 4" xfId="774"/>
    <cellStyle name="Normal 3 2 5" xfId="347"/>
    <cellStyle name="Normal 3 2 5 2" xfId="348"/>
    <cellStyle name="Normal 3 2 5 3" xfId="349"/>
    <cellStyle name="Normal 3 2 5 4" xfId="775"/>
    <cellStyle name="Normal 3 2 6" xfId="350"/>
    <cellStyle name="Normal 3 2 7" xfId="351"/>
    <cellStyle name="Normal 3 2 8" xfId="682"/>
    <cellStyle name="Normal 3 3" xfId="352"/>
    <cellStyle name="Normal 3 3 2" xfId="353"/>
    <cellStyle name="Normal 3 3 2 2" xfId="354"/>
    <cellStyle name="Normal 3 3 2 3" xfId="355"/>
    <cellStyle name="Normal 3 3 3" xfId="356"/>
    <cellStyle name="Normal 3 3 4" xfId="357"/>
    <cellStyle name="Normal 3 4" xfId="358"/>
    <cellStyle name="Normal 3 4 2" xfId="359"/>
    <cellStyle name="Normal 3 4 2 2" xfId="360"/>
    <cellStyle name="Normal 3 4 2 3" xfId="361"/>
    <cellStyle name="Normal 3 4 2 4" xfId="777"/>
    <cellStyle name="Normal 3 4 3" xfId="362"/>
    <cellStyle name="Normal 3 4 3 2" xfId="363"/>
    <cellStyle name="Normal 3 4 3 3" xfId="364"/>
    <cellStyle name="Normal 3 4 3 4" xfId="778"/>
    <cellStyle name="Normal 3 4 4" xfId="365"/>
    <cellStyle name="Normal 3 4 5" xfId="366"/>
    <cellStyle name="Normal 3 4 6" xfId="776"/>
    <cellStyle name="Normal 3 5" xfId="367"/>
    <cellStyle name="Normal 3 5 2" xfId="368"/>
    <cellStyle name="Normal 3 5 2 2" xfId="369"/>
    <cellStyle name="Normal 3 5 2 3" xfId="370"/>
    <cellStyle name="Normal 3 5 2 4" xfId="780"/>
    <cellStyle name="Normal 3 5 3" xfId="371"/>
    <cellStyle name="Normal 3 5 4" xfId="372"/>
    <cellStyle name="Normal 3 5 5" xfId="779"/>
    <cellStyle name="Normal 3 6" xfId="373"/>
    <cellStyle name="Normal 3 6 2" xfId="374"/>
    <cellStyle name="Normal 3 6 3" xfId="375"/>
    <cellStyle name="Normal 3 6 4" xfId="781"/>
    <cellStyle name="Normal 3 7" xfId="376"/>
    <cellStyle name="Normal 3 8" xfId="377"/>
    <cellStyle name="Normal 3 9" xfId="378"/>
    <cellStyle name="Normal 30" xfId="814"/>
    <cellStyle name="Normal 32" xfId="379"/>
    <cellStyle name="Normal 32 2" xfId="170"/>
    <cellStyle name="Normal 32 2 2" xfId="380"/>
    <cellStyle name="Normal 32 2 2 2" xfId="691"/>
    <cellStyle name="Normal 32 2 3" xfId="381"/>
    <cellStyle name="Normal 32 2 4" xfId="678"/>
    <cellStyle name="Normal 32 2 5" xfId="783"/>
    <cellStyle name="Normal 32 3" xfId="382"/>
    <cellStyle name="Normal 32 3 2" xfId="383"/>
    <cellStyle name="Normal 32 3 3" xfId="784"/>
    <cellStyle name="Normal 32 4" xfId="384"/>
    <cellStyle name="Normal 32 4 2" xfId="385"/>
    <cellStyle name="Normal 32 4 3" xfId="785"/>
    <cellStyle name="Normal 32 5" xfId="386"/>
    <cellStyle name="Normal 32 5 2" xfId="387"/>
    <cellStyle name="Normal 32 5 3" xfId="786"/>
    <cellStyle name="Normal 32 6" xfId="388"/>
    <cellStyle name="Normal 32 7" xfId="389"/>
    <cellStyle name="Normal 32 8" xfId="782"/>
    <cellStyle name="Normal 33" xfId="390"/>
    <cellStyle name="Normal 33 2" xfId="171"/>
    <cellStyle name="Normal 33 2 2" xfId="391"/>
    <cellStyle name="Normal 33 2 2 2" xfId="692"/>
    <cellStyle name="Normal 33 2 3" xfId="392"/>
    <cellStyle name="Normal 33 2 4" xfId="679"/>
    <cellStyle name="Normal 33 2 5" xfId="788"/>
    <cellStyle name="Normal 33 3" xfId="393"/>
    <cellStyle name="Normal 33 3 2" xfId="394"/>
    <cellStyle name="Normal 33 3 3" xfId="789"/>
    <cellStyle name="Normal 33 4" xfId="395"/>
    <cellStyle name="Normal 33 4 2" xfId="396"/>
    <cellStyle name="Normal 33 4 3" xfId="790"/>
    <cellStyle name="Normal 33 5" xfId="397"/>
    <cellStyle name="Normal 33 5 2" xfId="398"/>
    <cellStyle name="Normal 33 5 3" xfId="791"/>
    <cellStyle name="Normal 33 6" xfId="399"/>
    <cellStyle name="Normal 33 7" xfId="400"/>
    <cellStyle name="Normal 33 8" xfId="787"/>
    <cellStyle name="Normal 34" xfId="401"/>
    <cellStyle name="Normal 34 2" xfId="172"/>
    <cellStyle name="Normal 34 2 2" xfId="402"/>
    <cellStyle name="Normal 34 2 2 2" xfId="693"/>
    <cellStyle name="Normal 34 2 3" xfId="403"/>
    <cellStyle name="Normal 34 2 4" xfId="680"/>
    <cellStyle name="Normal 34 2 5" xfId="793"/>
    <cellStyle name="Normal 34 3" xfId="404"/>
    <cellStyle name="Normal 34 3 2" xfId="405"/>
    <cellStyle name="Normal 34 3 3" xfId="794"/>
    <cellStyle name="Normal 34 4" xfId="406"/>
    <cellStyle name="Normal 34 4 2" xfId="407"/>
    <cellStyle name="Normal 34 4 3" xfId="795"/>
    <cellStyle name="Normal 34 5" xfId="408"/>
    <cellStyle name="Normal 34 5 2" xfId="409"/>
    <cellStyle name="Normal 34 5 3" xfId="796"/>
    <cellStyle name="Normal 34 6" xfId="410"/>
    <cellStyle name="Normal 34 7" xfId="411"/>
    <cellStyle name="Normal 34 8" xfId="792"/>
    <cellStyle name="Normal 35" xfId="412"/>
    <cellStyle name="Normal 35 2" xfId="173"/>
    <cellStyle name="Normal 35 2 2" xfId="655"/>
    <cellStyle name="Normal 35 3" xfId="413"/>
    <cellStyle name="Normal 35 4" xfId="414"/>
    <cellStyle name="Normal 35 5" xfId="415"/>
    <cellStyle name="Normal 39" xfId="416"/>
    <cellStyle name="Normal 39 2" xfId="797"/>
    <cellStyle name="Normal 4" xfId="174"/>
    <cellStyle name="Normal 4 2" xfId="417"/>
    <cellStyle name="Normal 4 2 2" xfId="694"/>
    <cellStyle name="Normal 4 3" xfId="418"/>
    <cellStyle name="Normal 4 4" xfId="419"/>
    <cellStyle name="Normal 40" xfId="420"/>
    <cellStyle name="Normal 40 2" xfId="175"/>
    <cellStyle name="Normal 40 2 2" xfId="421"/>
    <cellStyle name="Normal 40 2 2 2" xfId="695"/>
    <cellStyle name="Normal 40 2 3" xfId="422"/>
    <cellStyle name="Normal 40 2 4" xfId="681"/>
    <cellStyle name="Normal 40 2 5" xfId="799"/>
    <cellStyle name="Normal 40 3" xfId="423"/>
    <cellStyle name="Normal 40 3 2" xfId="424"/>
    <cellStyle name="Normal 40 3 3" xfId="800"/>
    <cellStyle name="Normal 40 4" xfId="425"/>
    <cellStyle name="Normal 40 5" xfId="426"/>
    <cellStyle name="Normal 40 6" xfId="798"/>
    <cellStyle name="Normal 41" xfId="176"/>
    <cellStyle name="Normal 42" xfId="427"/>
    <cellStyle name="Normal 42 2" xfId="177"/>
    <cellStyle name="Normal 42 2 2" xfId="656"/>
    <cellStyle name="Normal 5" xfId="428"/>
    <cellStyle name="Normal 5 2" xfId="429"/>
    <cellStyle name="Normal 5 3" xfId="430"/>
    <cellStyle name="Normal 5 4" xfId="431"/>
    <cellStyle name="Normal 6" xfId="192"/>
    <cellStyle name="Normal 6 2" xfId="432"/>
    <cellStyle name="Normal 6 3" xfId="433"/>
    <cellStyle name="Normal 6 4" xfId="434"/>
    <cellStyle name="Normal 6 4 2" xfId="817"/>
    <cellStyle name="Normal 7" xfId="435"/>
    <cellStyle name="Normal 7 2" xfId="436"/>
    <cellStyle name="Normal 7 2 2" xfId="437"/>
    <cellStyle name="Normal 7 2 2 2" xfId="438"/>
    <cellStyle name="Normal 7 2 2 3" xfId="439"/>
    <cellStyle name="Normal 7 2 2 4" xfId="801"/>
    <cellStyle name="Normal 7 3" xfId="440"/>
    <cellStyle name="Normal 7 3 2" xfId="441"/>
    <cellStyle name="Normal 7 3 3" xfId="442"/>
    <cellStyle name="Normal 7 3 4" xfId="802"/>
    <cellStyle name="Normal 7 4" xfId="443"/>
    <cellStyle name="Normal 7 4 2" xfId="444"/>
    <cellStyle name="Normal 7 4 3" xfId="445"/>
    <cellStyle name="Normal 7 4 4" xfId="803"/>
    <cellStyle name="Normal 7 5" xfId="446"/>
    <cellStyle name="Normal 7 5 2" xfId="447"/>
    <cellStyle name="Normal 7 5 3" xfId="804"/>
    <cellStyle name="Normal 7 6" xfId="448"/>
    <cellStyle name="Normal 8" xfId="449"/>
    <cellStyle name="Normal 8 2" xfId="450"/>
    <cellStyle name="Normal 8 3" xfId="451"/>
    <cellStyle name="Normal 9" xfId="452"/>
    <cellStyle name="Normal 9 2" xfId="453"/>
    <cellStyle name="Normal 9 2 2" xfId="454"/>
    <cellStyle name="Normal 9 2 3" xfId="455"/>
    <cellStyle name="Normal 9 2 4" xfId="806"/>
    <cellStyle name="Normal 9 3" xfId="456"/>
    <cellStyle name="Normal 9 3 2" xfId="457"/>
    <cellStyle name="Normal 9 3 3" xfId="458"/>
    <cellStyle name="Normal 9 3 4" xfId="807"/>
    <cellStyle name="Normal 9 4" xfId="459"/>
    <cellStyle name="Normal 9 5" xfId="460"/>
    <cellStyle name="Normal 9 6" xfId="805"/>
    <cellStyle name="Normal_Hoja2" xfId="815"/>
    <cellStyle name="Notas" xfId="178" builtinId="10" customBuiltin="1"/>
    <cellStyle name="Notas 2" xfId="461"/>
    <cellStyle name="Notas 3" xfId="657"/>
    <cellStyle name="Notas 3 2" xfId="808"/>
    <cellStyle name="Percent 2" xfId="462"/>
    <cellStyle name="Percent 2 2" xfId="463"/>
    <cellStyle name="Porcentaje" xfId="813" builtinId="5"/>
    <cellStyle name="Porcentaje 2" xfId="179"/>
    <cellStyle name="Porcentaje 2 2" xfId="464"/>
    <cellStyle name="Porcentaje 2 2 2" xfId="465"/>
    <cellStyle name="Porcentaje 2 2 3" xfId="466"/>
    <cellStyle name="Porcentaje 2 3" xfId="467"/>
    <cellStyle name="Porcentaje 2 4" xfId="468"/>
    <cellStyle name="Porcentaje 2 5" xfId="469"/>
    <cellStyle name="Porcentaje 2 6" xfId="470"/>
    <cellStyle name="Porcentaje 2 7" xfId="471"/>
    <cellStyle name="Porcentaje 2 8" xfId="472"/>
    <cellStyle name="Porcentaje 3" xfId="195"/>
    <cellStyle name="Porcentaje 3 2" xfId="473"/>
    <cellStyle name="Porcentaje 3 2 2" xfId="474"/>
    <cellStyle name="Porcentaje 3 2 3" xfId="475"/>
    <cellStyle name="Porcentaje 3 3" xfId="476"/>
    <cellStyle name="Porcentaje 3 3 2" xfId="477"/>
    <cellStyle name="Porcentaje 3 3 3" xfId="478"/>
    <cellStyle name="Porcentaje 3 4" xfId="479"/>
    <cellStyle name="Porcentaje 3 4 2" xfId="480"/>
    <cellStyle name="Porcentaje 3 4 3" xfId="809"/>
    <cellStyle name="Porcentaje 3 5" xfId="481"/>
    <cellStyle name="Porcentaje 4" xfId="482"/>
    <cellStyle name="Porcentaje 5" xfId="483"/>
    <cellStyle name="Porcentaje 6" xfId="484"/>
    <cellStyle name="Porcentaje 7" xfId="658"/>
    <cellStyle name="Porcentual 2" xfId="485"/>
    <cellStyle name="Porcentual 2 10" xfId="810"/>
    <cellStyle name="Porcentual 2 2" xfId="180"/>
    <cellStyle name="Porcentual 2 2 2" xfId="659"/>
    <cellStyle name="Porcentual 2 3" xfId="181"/>
    <cellStyle name="Porcentual 2 3 2" xfId="660"/>
    <cellStyle name="Porcentual 2 4" xfId="182"/>
    <cellStyle name="Porcentual 2 4 2" xfId="661"/>
    <cellStyle name="Porcentual 2 5" xfId="183"/>
    <cellStyle name="Porcentual 2 5 2" xfId="662"/>
    <cellStyle name="Porcentual 2 6" xfId="184"/>
    <cellStyle name="Porcentual 2 6 2" xfId="663"/>
    <cellStyle name="Porcentual 2 7" xfId="486"/>
    <cellStyle name="Porcentual 2 7 2" xfId="487"/>
    <cellStyle name="Porcentual 2 7 3" xfId="811"/>
    <cellStyle name="Porcentual 2 8" xfId="488"/>
    <cellStyle name="Porcentual 2 9" xfId="489"/>
    <cellStyle name="Porcentual 3" xfId="490"/>
    <cellStyle name="Porcentual 3 2" xfId="491"/>
    <cellStyle name="Porcentual 3 3" xfId="492"/>
    <cellStyle name="Porcentual 3 4" xfId="493"/>
    <cellStyle name="Porcentual 3 5" xfId="494"/>
    <cellStyle name="Salida" xfId="185" builtinId="21" customBuiltin="1"/>
    <cellStyle name="Salida 2" xfId="495"/>
    <cellStyle name="Salida 3" xfId="664"/>
    <cellStyle name="Texto de advertencia" xfId="186" builtinId="11" customBuiltin="1"/>
    <cellStyle name="Texto de advertencia 2" xfId="496"/>
    <cellStyle name="Texto de advertencia 3" xfId="665"/>
    <cellStyle name="Texto explicativo" xfId="187" builtinId="53" customBuiltin="1"/>
    <cellStyle name="Texto explicativo 2" xfId="497"/>
    <cellStyle name="Texto explicativo 3" xfId="666"/>
    <cellStyle name="Título" xfId="188" builtinId="15" customBuiltin="1"/>
    <cellStyle name="Título 1 2" xfId="498"/>
    <cellStyle name="Título 2" xfId="189" builtinId="17" customBuiltin="1"/>
    <cellStyle name="Título 2 2" xfId="499"/>
    <cellStyle name="Título 2 3" xfId="668"/>
    <cellStyle name="Título 3" xfId="190" builtinId="18" customBuiltin="1"/>
    <cellStyle name="Título 3 2" xfId="500"/>
    <cellStyle name="Título 3 3" xfId="669"/>
    <cellStyle name="Título 4" xfId="501"/>
    <cellStyle name="Título 5" xfId="667"/>
    <cellStyle name="Total" xfId="191" builtinId="25" customBuiltin="1"/>
    <cellStyle name="Total 2" xfId="502"/>
    <cellStyle name="Total 3" xfId="6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80</xdr:row>
      <xdr:rowOff>9525</xdr:rowOff>
    </xdr:from>
    <xdr:to>
      <xdr:col>5</xdr:col>
      <xdr:colOff>523875</xdr:colOff>
      <xdr:row>94</xdr:row>
      <xdr:rowOff>114301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468350"/>
          <a:ext cx="449580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LC%20DEMANDA%20%20AP%20Y%20ALC-FINAL-S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rol%20de%20Calidad\C.ROSALES2002\BCEOM1\4SANRA~1\VOL-I\CONSRA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nix\ANTEPROYECTO%20PARTES%20ALTAS%20HUAYCAN\BolivarDefinitivo\CALC%20DEMANDA%20%20AP%20Y%20ALC-FINAL-S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/Propuesta%20Sedapal%20Costo%20Covid/4%20ENTREGAS/1%20Y%202%20DE%20MAYO/Plan%20Covid%201%20y%202%20de%20Mayo/3%20Plan%20de%20Vigilancia,%20Covid/3_Ppto%20Super%20COVID-19%20PRIMERO%20MAYO%2028s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\1%20PC%20yuri\2020\1%20servicios%202020\15%20Willy%20Mog\1.-%20INFO%20ENTREGADA-1y2MAYO\Covid\3_Presupuesto%20COVID-19%20%20Proy1-primero%20y%20dos%20de%20mayo%2002s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QUIPO%20ALQUILADO%20%20LOTE%202-%20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 de Información"/>
      <sheetName val="Demanda Agua"/>
      <sheetName val="Demanda Alcantarillado"/>
      <sheetName val="NºLagunas"/>
      <sheetName val="AreaLaguna"/>
      <sheetName val="Tanq.Imhoff"/>
      <sheetName val="DeficitOxig."/>
      <sheetName val="ALT134"/>
      <sheetName val="Cost.Agua Alt.2 (2)"/>
      <sheetName val="ALT2"/>
      <sheetName val="LAGUNA"/>
      <sheetName val="RAFA"/>
      <sheetName val="Cost.Agua Alt.1"/>
      <sheetName val="Cost.Agua Alt.2"/>
      <sheetName val="Cost.Alcant.Alt1"/>
      <sheetName val="Cost.Alcant.Alt2"/>
      <sheetName val="CostoO&amp;M CProy1"/>
      <sheetName val="CostoO&amp;M CProy2"/>
      <sheetName val="CostoO&amp;M D CProy1"/>
      <sheetName val="CostoO&amp;M D CProy2"/>
      <sheetName val="costo inv."/>
      <sheetName val="Ingreso de Información1"/>
      <sheetName val="costo O&amp;M SProy"/>
      <sheetName val="Inform.Fuente1"/>
      <sheetName val="Resultados-Curva Demanda1"/>
      <sheetName val="Resultados -Evaluación1"/>
      <sheetName val="Inform.Fuente2"/>
      <sheetName val="Resultados-Curva Demanda2"/>
      <sheetName val="Resultados -Evaluación2"/>
      <sheetName val="Hoja2"/>
      <sheetName val="Inv ALt 1"/>
      <sheetName val="Inv ALt 2"/>
      <sheetName val="Análisis Agua"/>
      <sheetName val="Graf.Enfer"/>
      <sheetName val="GRA-AGUA"/>
      <sheetName val="Dem.Agua Aguaytía"/>
      <sheetName val="Ingreso Infor.Aguaytía"/>
      <sheetName val="Dem.Alcant. Aguaytía"/>
      <sheetName val="Ingr.Infor. B.U"/>
      <sheetName val="Dem.Agua B.U"/>
      <sheetName val="Dem.Alcant. B.U"/>
      <sheetName val="GRA- ALCAN."/>
      <sheetName val="Vol. Regulación"/>
      <sheetName val="Ingr.Infor. Pampa Yurac"/>
      <sheetName val="Dem. Agua Pampa Yurac"/>
      <sheetName val="Ingr.Infor. R1"/>
      <sheetName val="Dem.Agua R1"/>
      <sheetName val="Ingr.Infor. R2"/>
      <sheetName val="Dem.Agua R2"/>
      <sheetName val="Ingr.Infor. VillaAguaytía R4"/>
      <sheetName val="Dem.Agua R4"/>
      <sheetName val="Ingr.Infor.R5 (ALT.1)"/>
      <sheetName val="Dem.Agua R5 (ALT.1)"/>
      <sheetName val="Ingr.Infor. R5 (ALT.2)"/>
      <sheetName val="Dem.Agua R5 (ALT.2)"/>
      <sheetName val="Ingr.Infor. R6 (ALT.2)"/>
      <sheetName val="Dem.Agua R6 (ALT.2)"/>
      <sheetName val="AFOROS"/>
      <sheetName val="SECCIONES QDA."/>
      <sheetName val="RÍOS"/>
      <sheetName val="QUEBRADAS"/>
      <sheetName val="MANANTIALES"/>
      <sheetName val="MANANTIAL Y POZO"/>
      <sheetName val="ZONIFICAC."/>
      <sheetName val="AGUA S.P"/>
      <sheetName val="AGUA C.P"/>
      <sheetName val="RED AGUA S.P"/>
      <sheetName val="RED AGUA C.P"/>
      <sheetName val="ALCANTARILLADO S.P Y C.P"/>
      <sheetName val="RED DESAGUE S.P"/>
      <sheetName val="RED DESAGUE C.P"/>
      <sheetName val="RESER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sram"/>
      <sheetName val="Rejsramon"/>
      <sheetName val="Imhsramon"/>
      <sheetName val="Lagsramon"/>
      <sheetName val="Bowsramon"/>
      <sheetName val="Modsramon"/>
      <sheetName val="Lagsram2"/>
      <sheetName val="Module1"/>
      <sheetName val="ALT134"/>
      <sheetName val="Cost.Agua Alt.2 (2)"/>
      <sheetName val="ALT2"/>
      <sheetName val="LAGUNA"/>
      <sheetName val="RAFA"/>
      <sheetName val="Cost.Agua Alt.1"/>
      <sheetName val="Cost.Agua Alt.2"/>
      <sheetName val="Cost.Alcant.Alt1"/>
      <sheetName val="Cost.Alcant.Alt2"/>
      <sheetName val="CostoO&amp;M CProy1"/>
      <sheetName val="CostoO&amp;M CProy2"/>
      <sheetName val="CostoO&amp;M D CProy1"/>
      <sheetName val="CostoO&amp;M D CProy2"/>
      <sheetName val="costo inv."/>
      <sheetName val="Ingreso de Información1"/>
      <sheetName val="Demanda Agua"/>
      <sheetName val="Demanda Alcantarillado"/>
      <sheetName val="costo O&amp;M SProy"/>
      <sheetName val="Inform.Fuente1"/>
      <sheetName val="Resultados-Curva Demanda1"/>
      <sheetName val="Resultados -Evaluación1"/>
      <sheetName val="Inform.Fuente2"/>
      <sheetName val="Resultados-Curva Demanda2"/>
      <sheetName val="Resultados -Evaluación2"/>
      <sheetName val="NºLagunas"/>
      <sheetName val="AreaLaguna"/>
      <sheetName val="Tanq.Imhoff"/>
      <sheetName val="DeficitOxig."/>
      <sheetName val="Análisis Agua"/>
      <sheetName val="Graf.Enfer"/>
      <sheetName val="GRA-AGUA"/>
      <sheetName val="Dem.Agua Aguaytía"/>
      <sheetName val="Ingreso Infor.Aguaytía"/>
      <sheetName val="Dem.Alcant. Aguaytía"/>
      <sheetName val="Ingr.Infor. B.U"/>
      <sheetName val="Dem.Agua B.U"/>
      <sheetName val="Dem.Alcant. B.U"/>
      <sheetName val="GRA- ALCAN."/>
      <sheetName val="Vol. Regulación"/>
      <sheetName val="Ingr.Infor. Pampa Yurac"/>
      <sheetName val="Dem. Agua Pampa Yurac"/>
      <sheetName val="Ingr.Infor. R1"/>
      <sheetName val="Dem.Agua R1"/>
      <sheetName val="Ingr.Infor. R2"/>
      <sheetName val="Dem.Agua R2"/>
      <sheetName val="Ingr.Infor. VillaAguaytía R4"/>
      <sheetName val="Dem.Agua R4"/>
      <sheetName val="Ingr.Infor.R5 (ALT.1)"/>
      <sheetName val="Dem.Agua R5 (ALT.1)"/>
      <sheetName val="Ingr.Infor. R5 (ALT.2)"/>
      <sheetName val="Dem.Agua R5 (ALT.2)"/>
      <sheetName val="Ingr.Infor. R6 (ALT.2)"/>
      <sheetName val="Dem.Agua R6 (ALT.2)"/>
      <sheetName val="AFOROS"/>
      <sheetName val="SECCIONES QDA."/>
      <sheetName val="RÍOS"/>
      <sheetName val="QUEBRADAS"/>
      <sheetName val="MANANTIALES"/>
      <sheetName val="MANANTIAL Y POZO"/>
      <sheetName val="ZONIFICAC."/>
      <sheetName val="AGUA S.P"/>
      <sheetName val="AGUA C.P"/>
      <sheetName val="RED AGUA S.P"/>
      <sheetName val="RED AGUA C.P"/>
      <sheetName val="ALCANTARILLADO S.P Y C.P"/>
      <sheetName val="RED DESAGUE S.P"/>
      <sheetName val="RED DESAGUE C.P"/>
      <sheetName val="RESER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 de Información"/>
      <sheetName val="Demanda Agua"/>
      <sheetName val="Demanda Alcantarillado"/>
      <sheetName val="NºLagunas"/>
      <sheetName val="AreaLaguna"/>
      <sheetName val="Tanq.Imhoff"/>
      <sheetName val="DeficitOxig.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 MAYO"/>
      <sheetName val="Etapa obra"/>
      <sheetName val="8 Etapa act previas"/>
      <sheetName val="Etapa recepcion liquid"/>
      <sheetName val="1CANTIDAD PERSONAL"/>
      <sheetName val="2GG "/>
      <sheetName val="3CAMPAMENTO"/>
      <sheetName val="4CANTIDAD PERSONAL comple"/>
      <sheetName val="5MAQUINARIAS"/>
      <sheetName val="6costo medico"/>
      <sheetName val="7areas limpieza"/>
      <sheetName val="Mayo super"/>
      <sheetName val="P.obra"/>
      <sheetName val="maquinarias"/>
      <sheetName val="Resumen"/>
      <sheetName val="calculo capac."/>
      <sheetName val="horas hombre"/>
    </sheetNames>
    <sheetDataSet>
      <sheetData sheetId="0">
        <row r="2">
          <cell r="E2">
            <v>444.44</v>
          </cell>
        </row>
        <row r="11">
          <cell r="D11">
            <v>122</v>
          </cell>
        </row>
        <row r="12">
          <cell r="D12">
            <v>2</v>
          </cell>
        </row>
        <row r="13">
          <cell r="D13">
            <v>7</v>
          </cell>
        </row>
        <row r="14">
          <cell r="D14">
            <v>175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ayo"/>
      <sheetName val="1 Mayo super"/>
      <sheetName val="CANTIDAD PERSONAL"/>
      <sheetName val="GG "/>
      <sheetName val="CAMPAMENTO"/>
      <sheetName val="MAQUINARIAS"/>
      <sheetName val="dimensiones maquina"/>
      <sheetName val="CANTIDAD PERSONAL comple"/>
      <sheetName val="costo medico"/>
      <sheetName val="calculo capac."/>
      <sheetName val="horas hombre"/>
    </sheetNames>
    <sheetDataSet>
      <sheetData sheetId="0">
        <row r="4">
          <cell r="E4">
            <v>444.44444444444451</v>
          </cell>
        </row>
        <row r="13">
          <cell r="D13">
            <v>121</v>
          </cell>
        </row>
        <row r="14">
          <cell r="D14">
            <v>2</v>
          </cell>
        </row>
        <row r="15">
          <cell r="D15">
            <v>7</v>
          </cell>
        </row>
        <row r="16">
          <cell r="D16">
            <v>175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N14">
            <v>4666.666666666667</v>
          </cell>
        </row>
      </sheetData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G"/>
      <sheetName val="RESUMEN SEMANA 46"/>
      <sheetName val="RESUMEN SEMANA 47"/>
      <sheetName val="Equipo Alquilado"/>
      <sheetName val="Hoja2"/>
      <sheetName val="Hoja1"/>
      <sheetName val="RESUMEN SEMANA 45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CODIGO</v>
          </cell>
          <cell r="B2" t="str">
            <v>DESCRIPCION</v>
          </cell>
          <cell r="C2" t="str">
            <v>UND</v>
          </cell>
          <cell r="D2" t="str">
            <v>S/.PU</v>
          </cell>
          <cell r="E2" t="str">
            <v>$ PU</v>
          </cell>
        </row>
        <row r="3">
          <cell r="A3" t="str">
            <v>BO01</v>
          </cell>
          <cell r="B3" t="str">
            <v>BOB CAT  CONSTRUCTORA  NEPAL S.A.C.</v>
          </cell>
          <cell r="C3" t="str">
            <v>HM</v>
          </cell>
          <cell r="D3">
            <v>52</v>
          </cell>
          <cell r="E3">
            <v>14.857142857142858</v>
          </cell>
        </row>
        <row r="4">
          <cell r="A4" t="str">
            <v>B002</v>
          </cell>
          <cell r="B4" t="str">
            <v>BOMBA CONCRETERA SERVIMEXCO</v>
          </cell>
          <cell r="C4" t="str">
            <v>M3</v>
          </cell>
          <cell r="D4">
            <v>14.88</v>
          </cell>
          <cell r="E4">
            <v>4.2514285714285718</v>
          </cell>
        </row>
        <row r="5">
          <cell r="A5" t="str">
            <v>CA1</v>
          </cell>
          <cell r="B5" t="str">
            <v>CAMION DE BARANDA WS 1848 PILLACA</v>
          </cell>
          <cell r="C5" t="str">
            <v>D</v>
          </cell>
          <cell r="D5">
            <v>84.75</v>
          </cell>
          <cell r="E5">
            <v>24.214285714285715</v>
          </cell>
        </row>
        <row r="6">
          <cell r="A6" t="str">
            <v>CA2</v>
          </cell>
          <cell r="B6" t="str">
            <v>CAMIONETA MITSUBISHI PS-1997 MAXIMO LIRA</v>
          </cell>
          <cell r="C6" t="str">
            <v>D</v>
          </cell>
          <cell r="D6">
            <v>85</v>
          </cell>
          <cell r="E6">
            <v>24.285714285714285</v>
          </cell>
        </row>
        <row r="7">
          <cell r="A7" t="str">
            <v>CA3</v>
          </cell>
          <cell r="B7" t="str">
            <v>CAMIONETA NISSAN PGL-542 VICTOR HUAMAN</v>
          </cell>
          <cell r="C7" t="str">
            <v>D</v>
          </cell>
          <cell r="D7">
            <v>77.680000000000007</v>
          </cell>
          <cell r="E7">
            <v>22.194285714285716</v>
          </cell>
        </row>
        <row r="8">
          <cell r="A8" t="str">
            <v>CA4</v>
          </cell>
          <cell r="B8" t="str">
            <v>CAMIONETA TOYOTA PGZ-656 CAN S.A.</v>
          </cell>
          <cell r="C8" t="str">
            <v>D</v>
          </cell>
          <cell r="D8">
            <v>77.680000000000007</v>
          </cell>
          <cell r="E8">
            <v>22.194285714285716</v>
          </cell>
        </row>
        <row r="9">
          <cell r="A9" t="str">
            <v>CA5</v>
          </cell>
          <cell r="B9" t="str">
            <v>CAMIONETA PD-5921-VICTOR HUAMAN</v>
          </cell>
          <cell r="C9" t="str">
            <v>D</v>
          </cell>
          <cell r="D9">
            <v>77.680000000000007</v>
          </cell>
          <cell r="E9">
            <v>22.194285714285716</v>
          </cell>
        </row>
        <row r="10">
          <cell r="A10" t="str">
            <v>CA6</v>
          </cell>
          <cell r="B10" t="str">
            <v>CARGADOR FRONTAL 938 G MUNIC. CARMEN ALTO</v>
          </cell>
          <cell r="C10" t="str">
            <v>D</v>
          </cell>
          <cell r="D10">
            <v>520</v>
          </cell>
          <cell r="E10">
            <v>148.57142857142858</v>
          </cell>
        </row>
        <row r="11">
          <cell r="A11" t="str">
            <v>CA9</v>
          </cell>
          <cell r="B11" t="str">
            <v>CAMIONETA -PP-6185-JORGE ALFREDO MARQUINA</v>
          </cell>
          <cell r="C11" t="str">
            <v>D</v>
          </cell>
          <cell r="D11">
            <v>90</v>
          </cell>
          <cell r="E11">
            <v>25.714285714285715</v>
          </cell>
        </row>
        <row r="12">
          <cell r="A12" t="str">
            <v>CA7</v>
          </cell>
          <cell r="B12" t="str">
            <v>CARGADOR VOLVO L-120 CONSTRUCT. MORALES</v>
          </cell>
          <cell r="C12" t="str">
            <v>HM</v>
          </cell>
          <cell r="D12">
            <v>110.17</v>
          </cell>
          <cell r="E12">
            <v>31.477142857142859</v>
          </cell>
        </row>
        <row r="13">
          <cell r="A13" t="str">
            <v>CO1</v>
          </cell>
          <cell r="B13" t="str">
            <v>COMPRESORA INGERSOL RAND COD 1182</v>
          </cell>
          <cell r="C13" t="str">
            <v>HM</v>
          </cell>
          <cell r="D13">
            <v>175</v>
          </cell>
          <cell r="E13">
            <v>50</v>
          </cell>
        </row>
        <row r="14">
          <cell r="A14" t="str">
            <v>CO2</v>
          </cell>
          <cell r="B14" t="str">
            <v>COMPRESORA SULLAIR AUTOMOTRIZ HUAMANGA</v>
          </cell>
          <cell r="C14" t="str">
            <v>HM</v>
          </cell>
          <cell r="D14">
            <v>42.37</v>
          </cell>
          <cell r="E14">
            <v>12.105714285714285</v>
          </cell>
        </row>
        <row r="15">
          <cell r="A15" t="str">
            <v>CO3</v>
          </cell>
          <cell r="B15" t="str">
            <v>COMPRESORA INGERSOL RAND-RICHARD ÑAHUINCOPA</v>
          </cell>
          <cell r="C15" t="str">
            <v>HM</v>
          </cell>
          <cell r="D15">
            <v>38</v>
          </cell>
          <cell r="E15">
            <v>10.857142857142858</v>
          </cell>
        </row>
        <row r="16">
          <cell r="A16" t="str">
            <v>EX1</v>
          </cell>
          <cell r="B16" t="str">
            <v xml:space="preserve">EXCAVADORA CAT 330 BL RAYME DE LA CRUZ </v>
          </cell>
          <cell r="C16" t="str">
            <v>HM</v>
          </cell>
          <cell r="D16">
            <v>185.5</v>
          </cell>
          <cell r="E16">
            <v>53</v>
          </cell>
        </row>
        <row r="17">
          <cell r="A17" t="str">
            <v>EX2</v>
          </cell>
          <cell r="B17" t="str">
            <v>EXCAVADORA VOLVO EC-360 Nº004- VOLVO</v>
          </cell>
          <cell r="C17" t="str">
            <v>HM</v>
          </cell>
          <cell r="D17">
            <v>175</v>
          </cell>
          <cell r="E17">
            <v>50</v>
          </cell>
        </row>
        <row r="18">
          <cell r="A18" t="str">
            <v>EX3</v>
          </cell>
          <cell r="B18" t="str">
            <v>EXCAVADORA VOLVO EC-280- VOLVO</v>
          </cell>
          <cell r="C18" t="str">
            <v>HM</v>
          </cell>
          <cell r="D18">
            <v>150.5</v>
          </cell>
          <cell r="E18">
            <v>43</v>
          </cell>
        </row>
        <row r="19">
          <cell r="A19" t="str">
            <v>EX4</v>
          </cell>
          <cell r="B19" t="str">
            <v>EXCAVADORA DAEWO 220 LC-TBCONSA</v>
          </cell>
          <cell r="C19" t="str">
            <v>HM</v>
          </cell>
          <cell r="D19">
            <v>140</v>
          </cell>
          <cell r="E19">
            <v>40</v>
          </cell>
        </row>
        <row r="20">
          <cell r="A20" t="str">
            <v>M01</v>
          </cell>
          <cell r="B20" t="str">
            <v>MINICARGADOR BEHL - 56255X</v>
          </cell>
          <cell r="C20" t="str">
            <v>HM</v>
          </cell>
          <cell r="D20">
            <v>48</v>
          </cell>
          <cell r="E20">
            <v>13.714285714285714</v>
          </cell>
        </row>
        <row r="21">
          <cell r="A21" t="str">
            <v>PL1</v>
          </cell>
          <cell r="B21" t="str">
            <v>PLANCHA COMPACTADORA 2892 KOMATSU</v>
          </cell>
          <cell r="C21" t="str">
            <v>HM</v>
          </cell>
          <cell r="D21">
            <v>40</v>
          </cell>
          <cell r="E21">
            <v>11.428571428571429</v>
          </cell>
        </row>
        <row r="22">
          <cell r="A22" t="str">
            <v>PL2</v>
          </cell>
          <cell r="B22" t="str">
            <v>PLANCHA COMPACTADORA 2894 KOMATSU</v>
          </cell>
          <cell r="C22" t="str">
            <v>HM</v>
          </cell>
          <cell r="D22">
            <v>40</v>
          </cell>
          <cell r="E22">
            <v>11.428571428571429</v>
          </cell>
        </row>
        <row r="23">
          <cell r="A23" t="str">
            <v>PL3</v>
          </cell>
          <cell r="B23" t="str">
            <v>PLANCHA COMPACTADORA KHOLER</v>
          </cell>
          <cell r="C23" t="str">
            <v>HM</v>
          </cell>
          <cell r="D23">
            <v>40</v>
          </cell>
          <cell r="E23">
            <v>11.428571428571429</v>
          </cell>
        </row>
        <row r="24">
          <cell r="A24" t="str">
            <v>RE1</v>
          </cell>
          <cell r="B24" t="str">
            <v>RETROEXCAVADORA DAEWOO-BONELLI</v>
          </cell>
          <cell r="C24" t="str">
            <v>HM</v>
          </cell>
          <cell r="D24">
            <v>140</v>
          </cell>
          <cell r="E24">
            <v>40</v>
          </cell>
        </row>
        <row r="25">
          <cell r="A25" t="str">
            <v>RE2</v>
          </cell>
          <cell r="B25" t="str">
            <v>RETROEXCAVADORA JHON DEERE 310D-OSCAR TUEROS</v>
          </cell>
          <cell r="C25" t="str">
            <v>HM</v>
          </cell>
          <cell r="D25">
            <v>66.5</v>
          </cell>
          <cell r="E25">
            <v>19</v>
          </cell>
        </row>
        <row r="26">
          <cell r="A26" t="str">
            <v>R01</v>
          </cell>
          <cell r="B26" t="str">
            <v>RODILLO LISO  CAM S.A.</v>
          </cell>
          <cell r="C26" t="str">
            <v>HM</v>
          </cell>
          <cell r="D26">
            <v>150.24</v>
          </cell>
          <cell r="E26">
            <v>42.925714285714285</v>
          </cell>
        </row>
        <row r="27">
          <cell r="A27" t="str">
            <v>R02</v>
          </cell>
          <cell r="B27" t="str">
            <v>RODILLO RD-880 BONELI</v>
          </cell>
          <cell r="C27" t="str">
            <v>HM</v>
          </cell>
          <cell r="D27">
            <v>38.14</v>
          </cell>
          <cell r="E27">
            <v>10.897142857142857</v>
          </cell>
        </row>
        <row r="28">
          <cell r="A28" t="str">
            <v>R03</v>
          </cell>
          <cell r="B28" t="str">
            <v xml:space="preserve">RODILLO VIBRATORIO CAT CS-563 JORGE BELLIDO </v>
          </cell>
          <cell r="C28" t="str">
            <v>HM</v>
          </cell>
          <cell r="D28">
            <v>101.7</v>
          </cell>
          <cell r="E28">
            <v>29.057142857142857</v>
          </cell>
        </row>
        <row r="29">
          <cell r="A29" t="str">
            <v>R04</v>
          </cell>
          <cell r="B29" t="str">
            <v>RODILLO VIBRATORIO-CAM</v>
          </cell>
          <cell r="C29" t="str">
            <v>HM</v>
          </cell>
          <cell r="D29">
            <v>43.75</v>
          </cell>
          <cell r="E29">
            <v>12.5</v>
          </cell>
        </row>
        <row r="30">
          <cell r="A30" t="str">
            <v>TR1</v>
          </cell>
          <cell r="B30" t="str">
            <v>TRACTOR S/ORUGA D6H SERVIMESCO S.A.</v>
          </cell>
          <cell r="C30" t="str">
            <v>HM</v>
          </cell>
          <cell r="D30">
            <v>118.64</v>
          </cell>
          <cell r="E30">
            <v>33.89714285714286</v>
          </cell>
        </row>
        <row r="31">
          <cell r="A31" t="str">
            <v>TR2</v>
          </cell>
          <cell r="B31" t="str">
            <v>TRACTOR S/ORUGA D6M MUNIC. VILCANCHOS</v>
          </cell>
          <cell r="C31" t="str">
            <v>HM</v>
          </cell>
          <cell r="D31">
            <v>118.64</v>
          </cell>
          <cell r="E31">
            <v>33.89714285714286</v>
          </cell>
        </row>
        <row r="32">
          <cell r="A32" t="str">
            <v>VI1</v>
          </cell>
          <cell r="B32" t="str">
            <v>VIBROAPISONADOR CAN S.A.</v>
          </cell>
          <cell r="C32" t="str">
            <v>HM</v>
          </cell>
          <cell r="D32">
            <v>86.22</v>
          </cell>
          <cell r="E32">
            <v>24.634285714285713</v>
          </cell>
        </row>
        <row r="33">
          <cell r="A33" t="str">
            <v>VO1</v>
          </cell>
          <cell r="B33" t="str">
            <v>VOLQUETE WO - 1217 MARTINA BERTHA HUAMANI P</v>
          </cell>
          <cell r="C33" t="str">
            <v>HM</v>
          </cell>
          <cell r="D33">
            <v>50.85</v>
          </cell>
          <cell r="E33">
            <v>14.528571428571428</v>
          </cell>
        </row>
        <row r="34">
          <cell r="A34" t="str">
            <v>VO2</v>
          </cell>
          <cell r="B34" t="str">
            <v>VOLQUETE WO - 5692 TRANSP. SOLANCH</v>
          </cell>
          <cell r="C34" t="str">
            <v>HM</v>
          </cell>
          <cell r="D34">
            <v>67.8</v>
          </cell>
          <cell r="E34">
            <v>19.37142857142857</v>
          </cell>
        </row>
        <row r="35">
          <cell r="A35" t="str">
            <v>VO3</v>
          </cell>
          <cell r="B35" t="str">
            <v>VOLQUETE WO -8971 CONST. Y MAQ. BAUTISTA</v>
          </cell>
          <cell r="C35" t="str">
            <v>HM</v>
          </cell>
          <cell r="D35">
            <v>67.8</v>
          </cell>
          <cell r="E35">
            <v>19.37142857142857</v>
          </cell>
        </row>
        <row r="36">
          <cell r="A36" t="str">
            <v>VO4</v>
          </cell>
          <cell r="B36" t="str">
            <v>VOLQUETE WP - 6676 GENARO PILLACA CAJAMARCA</v>
          </cell>
          <cell r="C36" t="str">
            <v>HM</v>
          </cell>
          <cell r="D36">
            <v>50.85</v>
          </cell>
          <cell r="E36">
            <v>14.528571428571428</v>
          </cell>
        </row>
        <row r="37">
          <cell r="A37" t="str">
            <v>VO5</v>
          </cell>
          <cell r="B37" t="str">
            <v>VOLQUETE WP-7652 ORESTES NARVAES HUAMAN</v>
          </cell>
          <cell r="C37" t="str">
            <v>HM</v>
          </cell>
          <cell r="D37">
            <v>61.71</v>
          </cell>
          <cell r="E37">
            <v>17.631428571428572</v>
          </cell>
        </row>
        <row r="38">
          <cell r="A38" t="str">
            <v>VO6</v>
          </cell>
          <cell r="B38" t="str">
            <v>VOLQUETE WS-2284 ALEJANDRO CABRERA</v>
          </cell>
          <cell r="C38" t="str">
            <v>HM</v>
          </cell>
          <cell r="D38">
            <v>66.12</v>
          </cell>
          <cell r="E38">
            <v>18.891428571428573</v>
          </cell>
        </row>
        <row r="39">
          <cell r="A39" t="str">
            <v>VO7</v>
          </cell>
          <cell r="B39" t="str">
            <v xml:space="preserve">VOLQUETE WT-1627 ZULMA PILLACA </v>
          </cell>
          <cell r="C39" t="str">
            <v>HM</v>
          </cell>
          <cell r="D39">
            <v>35.26</v>
          </cell>
          <cell r="E39">
            <v>10.074285714285713</v>
          </cell>
        </row>
        <row r="40">
          <cell r="A40" t="str">
            <v>VO8</v>
          </cell>
          <cell r="B40" t="str">
            <v>VOLQUETE XE-1658 RICARDO POLO CONTRERAS</v>
          </cell>
          <cell r="C40" t="str">
            <v>HM</v>
          </cell>
          <cell r="D40">
            <v>66.12</v>
          </cell>
          <cell r="E40">
            <v>18.891428571428573</v>
          </cell>
        </row>
        <row r="41">
          <cell r="A41" t="str">
            <v>VO9</v>
          </cell>
          <cell r="B41" t="str">
            <v>VOLQUETE XG-5858 FELIX JANANPA CAJAMARCA</v>
          </cell>
          <cell r="C41" t="str">
            <v>HM</v>
          </cell>
          <cell r="D41">
            <v>50.85</v>
          </cell>
          <cell r="E41">
            <v>14.528571428571428</v>
          </cell>
        </row>
        <row r="42">
          <cell r="A42" t="str">
            <v>VO10</v>
          </cell>
          <cell r="B42" t="str">
            <v>VOLQUETE XG-7887 MARIA MARUJA ROMANI</v>
          </cell>
          <cell r="C42" t="str">
            <v>HM</v>
          </cell>
          <cell r="D42">
            <v>61.71</v>
          </cell>
          <cell r="E42">
            <v>17.631428571428572</v>
          </cell>
        </row>
        <row r="43">
          <cell r="A43" t="str">
            <v>VO11</v>
          </cell>
          <cell r="B43" t="str">
            <v>VOLQUETE XH-1715 ALBERTO VENTURA G.</v>
          </cell>
          <cell r="C43" t="str">
            <v>HM</v>
          </cell>
          <cell r="D43">
            <v>61.71</v>
          </cell>
          <cell r="E43">
            <v>17.631428571428572</v>
          </cell>
        </row>
        <row r="44">
          <cell r="A44" t="str">
            <v>VO12</v>
          </cell>
          <cell r="B44" t="str">
            <v>VOLQUETE XI-2111 MAQ. Y TRANSP. "LA MODERNA"</v>
          </cell>
          <cell r="C44" t="str">
            <v>HM</v>
          </cell>
          <cell r="D44">
            <v>61.71</v>
          </cell>
          <cell r="E44">
            <v>17.631428571428572</v>
          </cell>
        </row>
        <row r="45">
          <cell r="A45" t="str">
            <v>VO13</v>
          </cell>
          <cell r="B45" t="str">
            <v>VOLQUETE XI-3225 JHONY CARLOS JOSNILLA VALLEJOS</v>
          </cell>
          <cell r="C45" t="str">
            <v>HM</v>
          </cell>
          <cell r="D45">
            <v>76.27</v>
          </cell>
          <cell r="E45">
            <v>21.791428571428572</v>
          </cell>
        </row>
        <row r="46">
          <cell r="A46" t="str">
            <v>VO14</v>
          </cell>
          <cell r="B46" t="str">
            <v>VOLQUETE XP-2633 OSCAR TUEROS</v>
          </cell>
          <cell r="C46" t="str">
            <v>HM</v>
          </cell>
          <cell r="D46">
            <v>35.26</v>
          </cell>
          <cell r="E46">
            <v>10.074285714285713</v>
          </cell>
        </row>
        <row r="47">
          <cell r="A47" t="str">
            <v>VO15</v>
          </cell>
          <cell r="B47" t="str">
            <v>VOLQUETE YG-4642 MINERA AYACUCHO</v>
          </cell>
          <cell r="C47" t="str">
            <v>HM</v>
          </cell>
          <cell r="D47">
            <v>65.709999999999994</v>
          </cell>
          <cell r="E47">
            <v>18.774285714285714</v>
          </cell>
        </row>
        <row r="48">
          <cell r="A48" t="str">
            <v>VO16</v>
          </cell>
          <cell r="B48" t="str">
            <v>VOLQUETE YG-5925</v>
          </cell>
          <cell r="C48" t="str">
            <v>HM</v>
          </cell>
          <cell r="D48">
            <v>44.08</v>
          </cell>
          <cell r="E48">
            <v>12.594285714285714</v>
          </cell>
        </row>
        <row r="49">
          <cell r="A49" t="str">
            <v>VO17</v>
          </cell>
          <cell r="B49" t="str">
            <v>VOLQUETE YG-6512 ORESTES NARVAES HUAMAN</v>
          </cell>
          <cell r="C49" t="str">
            <v>HM</v>
          </cell>
          <cell r="D49">
            <v>65.709999999999994</v>
          </cell>
          <cell r="E49">
            <v>18.774285714285714</v>
          </cell>
        </row>
        <row r="50">
          <cell r="A50" t="str">
            <v>VO18</v>
          </cell>
          <cell r="B50" t="str">
            <v>VOLQUETE YH-2535</v>
          </cell>
          <cell r="C50" t="str">
            <v>HM</v>
          </cell>
          <cell r="D50">
            <v>61.71</v>
          </cell>
          <cell r="E50">
            <v>17.631428571428572</v>
          </cell>
        </row>
        <row r="51">
          <cell r="A51" t="str">
            <v>VO19</v>
          </cell>
          <cell r="B51" t="str">
            <v>VOLQUETE XQ-6994</v>
          </cell>
          <cell r="C51" t="str">
            <v>HM</v>
          </cell>
          <cell r="D51">
            <v>70.53</v>
          </cell>
          <cell r="E51">
            <v>20.151428571428571</v>
          </cell>
        </row>
        <row r="52">
          <cell r="A52" t="str">
            <v>VO20</v>
          </cell>
          <cell r="B52" t="str">
            <v>VOLQUETE WH-7262</v>
          </cell>
          <cell r="C52" t="str">
            <v>HM</v>
          </cell>
          <cell r="D52">
            <v>57.3</v>
          </cell>
          <cell r="E52">
            <v>16.37142857142857</v>
          </cell>
        </row>
        <row r="53">
          <cell r="A53" t="str">
            <v>VO21</v>
          </cell>
          <cell r="B53" t="str">
            <v>VOLQUETE XQ-1850</v>
          </cell>
          <cell r="C53" t="str">
            <v>HM</v>
          </cell>
          <cell r="D53">
            <v>51.72</v>
          </cell>
          <cell r="E53">
            <v>14.777142857142858</v>
          </cell>
        </row>
        <row r="54">
          <cell r="A54" t="str">
            <v>VO22</v>
          </cell>
          <cell r="B54" t="str">
            <v>VOLQUETE XG-9993-ALBERTO TRISOLINI</v>
          </cell>
          <cell r="C54" t="str">
            <v>HM</v>
          </cell>
          <cell r="D54">
            <v>61.71</v>
          </cell>
          <cell r="E54">
            <v>17.631428571428572</v>
          </cell>
        </row>
        <row r="55">
          <cell r="A55" t="str">
            <v>VO23</v>
          </cell>
          <cell r="B55" t="str">
            <v>VOLQUETE YG-2413-ALBERTO TRISOLINI</v>
          </cell>
          <cell r="C55" t="str">
            <v>HM</v>
          </cell>
          <cell r="D55">
            <v>61.71</v>
          </cell>
          <cell r="E55">
            <v>17.631428571428572</v>
          </cell>
        </row>
        <row r="56">
          <cell r="A56" t="str">
            <v>VO24</v>
          </cell>
          <cell r="B56" t="str">
            <v>VOLQUETE WP-6488-EDGAR AYALA T.</v>
          </cell>
          <cell r="C56" t="str">
            <v>HM</v>
          </cell>
          <cell r="D56">
            <v>35.26</v>
          </cell>
          <cell r="E56">
            <v>10.074285714285713</v>
          </cell>
        </row>
        <row r="57">
          <cell r="A57" t="str">
            <v>VO25</v>
          </cell>
          <cell r="B57" t="str">
            <v>VOLQUETE WP-6388-EDGAR AYALA T.</v>
          </cell>
          <cell r="C57" t="str">
            <v>HM</v>
          </cell>
          <cell r="D57">
            <v>35.26</v>
          </cell>
          <cell r="E57">
            <v>10.074285714285713</v>
          </cell>
        </row>
        <row r="58">
          <cell r="A58" t="str">
            <v>VO26</v>
          </cell>
          <cell r="B58" t="str">
            <v>VOLQUETE XQ-6735</v>
          </cell>
          <cell r="C58" t="str">
            <v>HM</v>
          </cell>
          <cell r="D58">
            <v>66.12</v>
          </cell>
          <cell r="E58">
            <v>18.891428571428573</v>
          </cell>
        </row>
        <row r="59">
          <cell r="A59" t="str">
            <v>VO27</v>
          </cell>
          <cell r="B59" t="str">
            <v>VOLQUETE WO -5509-GERMAN CUADROS</v>
          </cell>
          <cell r="C59" t="str">
            <v>HM</v>
          </cell>
          <cell r="D59">
            <v>39.67</v>
          </cell>
          <cell r="E59">
            <v>11.334285714285715</v>
          </cell>
        </row>
        <row r="60">
          <cell r="A60" t="str">
            <v>VO28</v>
          </cell>
          <cell r="B60" t="str">
            <v>VOLQUETE WQ-3592-RAFAEL ROCA</v>
          </cell>
          <cell r="C60" t="str">
            <v>HM</v>
          </cell>
          <cell r="D60">
            <v>76.27</v>
          </cell>
          <cell r="E60">
            <v>21.791428571428572</v>
          </cell>
        </row>
        <row r="61">
          <cell r="A61" t="str">
            <v>VO29</v>
          </cell>
          <cell r="B61" t="str">
            <v>VOLQUETE XQ-3914-DISPETROL</v>
          </cell>
          <cell r="C61" t="str">
            <v>HM</v>
          </cell>
          <cell r="D61">
            <v>66.12</v>
          </cell>
          <cell r="E61">
            <v>18.891428571428573</v>
          </cell>
        </row>
        <row r="62">
          <cell r="A62" t="str">
            <v>VO30</v>
          </cell>
          <cell r="B62" t="str">
            <v>VOLQUETE WP-5471-JUAN DE MATTA AGUADO</v>
          </cell>
          <cell r="C62" t="str">
            <v>HM</v>
          </cell>
          <cell r="D62">
            <v>45</v>
          </cell>
          <cell r="E62">
            <v>12.857142857142858</v>
          </cell>
        </row>
        <row r="63">
          <cell r="A63" t="str">
            <v>VO31</v>
          </cell>
          <cell r="B63" t="str">
            <v>VOLQUETE WP-4033-MARCIAL JANAMPA</v>
          </cell>
          <cell r="C63" t="str">
            <v>HM</v>
          </cell>
          <cell r="D63">
            <v>50.85</v>
          </cell>
          <cell r="E63">
            <v>14.528571428571428</v>
          </cell>
        </row>
        <row r="64">
          <cell r="A64" t="str">
            <v>VO32</v>
          </cell>
          <cell r="B64" t="str">
            <v>VOLQUETE WZ-6914</v>
          </cell>
          <cell r="C64" t="str">
            <v>D</v>
          </cell>
          <cell r="E64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itmaxsac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itmaxsac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xitmaxsac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itmaxsac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5"/>
  <sheetViews>
    <sheetView tabSelected="1" view="pageBreakPreview" topLeftCell="A253" zoomScale="70" zoomScaleNormal="70" zoomScaleSheetLayoutView="70" workbookViewId="0">
      <selection activeCell="F192" sqref="F192:G192"/>
    </sheetView>
  </sheetViews>
  <sheetFormatPr baseColWidth="10" defaultColWidth="11.44140625" defaultRowHeight="13.2" x14ac:dyDescent="0.25"/>
  <cols>
    <col min="1" max="1" width="6.5546875" style="11" customWidth="1"/>
    <col min="2" max="2" width="98.33203125" style="3" customWidth="1"/>
    <col min="3" max="3" width="9.109375" style="3" customWidth="1"/>
    <col min="4" max="4" width="7.88671875" style="3" customWidth="1"/>
    <col min="5" max="5" width="14.33203125" style="3" customWidth="1"/>
    <col min="6" max="6" width="12.33203125" style="3" customWidth="1"/>
    <col min="7" max="7" width="13.88671875" style="3" customWidth="1"/>
    <col min="8" max="8" width="18.33203125" style="3" customWidth="1"/>
    <col min="9" max="9" width="19.44140625" style="3" hidden="1" customWidth="1"/>
    <col min="10" max="10" width="22" style="3" hidden="1" customWidth="1"/>
    <col min="11" max="13" width="11.44140625" style="3" hidden="1" customWidth="1"/>
    <col min="14" max="18" width="11.44140625" style="3" customWidth="1"/>
    <col min="19" max="16384" width="11.44140625" style="3"/>
  </cols>
  <sheetData>
    <row r="1" spans="1:8" ht="9.6" customHeight="1" x14ac:dyDescent="0.25">
      <c r="E1" s="4"/>
      <c r="F1" s="4"/>
      <c r="G1" s="4"/>
    </row>
    <row r="2" spans="1:8" ht="57" customHeight="1" x14ac:dyDescent="0.25">
      <c r="A2" s="718" t="s">
        <v>508</v>
      </c>
      <c r="B2" s="719"/>
      <c r="C2" s="719"/>
      <c r="D2" s="719"/>
      <c r="E2" s="719"/>
      <c r="F2" s="719"/>
      <c r="G2" s="719"/>
      <c r="H2" s="719"/>
    </row>
    <row r="3" spans="1:8" ht="18.75" customHeight="1" x14ac:dyDescent="0.25">
      <c r="A3" s="98" t="s">
        <v>484</v>
      </c>
      <c r="B3" s="73"/>
      <c r="C3" s="24"/>
      <c r="D3" s="24"/>
      <c r="E3" s="24"/>
      <c r="F3" s="24"/>
      <c r="G3" s="24"/>
      <c r="H3" s="24"/>
    </row>
    <row r="4" spans="1:8" ht="35.25" customHeight="1" x14ac:dyDescent="0.25">
      <c r="A4" s="720" t="s">
        <v>509</v>
      </c>
      <c r="B4" s="721"/>
      <c r="C4" s="721"/>
      <c r="D4" s="721"/>
      <c r="E4" s="721"/>
      <c r="F4" s="721"/>
      <c r="G4" s="721"/>
      <c r="H4" s="721"/>
    </row>
    <row r="5" spans="1:8" ht="13.8" x14ac:dyDescent="0.25">
      <c r="A5" s="96"/>
      <c r="B5" s="103" t="s">
        <v>89</v>
      </c>
      <c r="C5" s="97"/>
      <c r="D5" s="97"/>
      <c r="E5" s="97"/>
      <c r="F5" s="97"/>
      <c r="G5" s="97"/>
      <c r="H5" s="97"/>
    </row>
    <row r="6" spans="1:8" ht="18.75" customHeight="1" x14ac:dyDescent="0.25">
      <c r="A6" s="28"/>
      <c r="B6" s="29" t="s">
        <v>464</v>
      </c>
      <c r="C6" s="30">
        <v>300</v>
      </c>
      <c r="D6" s="2"/>
      <c r="E6" s="26"/>
      <c r="F6" s="1"/>
      <c r="G6" s="1"/>
      <c r="H6" s="25"/>
    </row>
    <row r="7" spans="1:8" ht="18.75" customHeight="1" x14ac:dyDescent="0.25">
      <c r="A7" s="28"/>
      <c r="B7" s="29" t="s">
        <v>463</v>
      </c>
      <c r="C7" s="30">
        <v>60</v>
      </c>
      <c r="D7" s="2"/>
      <c r="E7" s="99"/>
      <c r="F7" s="1"/>
      <c r="G7" s="1"/>
      <c r="H7" s="25"/>
    </row>
    <row r="8" spans="1:8" ht="12.75" customHeight="1" x14ac:dyDescent="0.25">
      <c r="A8" s="28"/>
      <c r="B8" s="29" t="s">
        <v>23</v>
      </c>
      <c r="C8" s="30">
        <v>30</v>
      </c>
      <c r="D8" s="2"/>
      <c r="E8" s="99"/>
      <c r="F8" s="1"/>
      <c r="G8" s="1"/>
      <c r="H8" s="7"/>
    </row>
    <row r="9" spans="1:8" ht="12.75" customHeight="1" x14ac:dyDescent="0.25">
      <c r="A9" s="28"/>
      <c r="B9" s="29" t="s">
        <v>24</v>
      </c>
      <c r="C9" s="31">
        <f>+C6+C8+C7</f>
        <v>390</v>
      </c>
      <c r="D9" s="2"/>
      <c r="E9" s="26"/>
      <c r="F9" s="1"/>
      <c r="G9" s="1"/>
      <c r="H9" s="8"/>
    </row>
    <row r="10" spans="1:8" ht="12.75" customHeight="1" x14ac:dyDescent="0.25">
      <c r="A10" s="28"/>
      <c r="B10" s="103" t="s">
        <v>90</v>
      </c>
      <c r="C10" s="102"/>
      <c r="D10" s="2"/>
      <c r="E10" s="99"/>
      <c r="F10" s="1"/>
      <c r="G10" s="1"/>
      <c r="H10" s="8"/>
    </row>
    <row r="11" spans="1:8" ht="12.75" customHeight="1" x14ac:dyDescent="0.25">
      <c r="A11" s="28"/>
      <c r="B11" s="29" t="s">
        <v>88</v>
      </c>
      <c r="C11" s="102">
        <v>90</v>
      </c>
      <c r="D11" s="2"/>
      <c r="E11" s="99"/>
      <c r="F11" s="1"/>
      <c r="G11" s="1"/>
      <c r="H11" s="8"/>
    </row>
    <row r="12" spans="1:8" ht="24.75" hidden="1" customHeight="1" x14ac:dyDescent="0.25">
      <c r="A12" s="28"/>
      <c r="B12" s="2"/>
      <c r="C12" s="2"/>
      <c r="D12" s="2"/>
      <c r="E12" s="2"/>
      <c r="F12" s="2"/>
      <c r="G12" s="2"/>
      <c r="H12" s="2"/>
    </row>
    <row r="13" spans="1:8" s="6" customFormat="1" ht="47.4" customHeight="1" x14ac:dyDescent="0.25">
      <c r="A13" s="727" t="s">
        <v>496</v>
      </c>
      <c r="B13" s="728"/>
      <c r="C13" s="728"/>
      <c r="D13" s="728"/>
      <c r="E13" s="728"/>
      <c r="F13" s="728"/>
      <c r="G13" s="728"/>
      <c r="H13" s="729"/>
    </row>
    <row r="14" spans="1:8" s="6" customFormat="1" ht="18.75" customHeight="1" x14ac:dyDescent="0.3">
      <c r="A14" s="32"/>
      <c r="B14" s="33"/>
      <c r="C14" s="33"/>
      <c r="D14" s="33"/>
      <c r="E14" s="33"/>
      <c r="F14" s="33"/>
      <c r="G14" s="33"/>
      <c r="H14" s="33"/>
    </row>
    <row r="15" spans="1:8" s="6" customFormat="1" ht="18" customHeight="1" x14ac:dyDescent="0.3">
      <c r="A15" s="34"/>
      <c r="B15" s="690" t="s">
        <v>38</v>
      </c>
      <c r="C15" s="691" t="s">
        <v>39</v>
      </c>
      <c r="D15" s="691"/>
      <c r="E15" s="691"/>
      <c r="F15" s="691"/>
      <c r="G15" s="691"/>
      <c r="H15" s="691"/>
    </row>
    <row r="16" spans="1:8" s="6" customFormat="1" ht="18" customHeight="1" x14ac:dyDescent="0.25">
      <c r="A16" s="35"/>
      <c r="B16" s="690"/>
      <c r="C16" s="688" t="s">
        <v>40</v>
      </c>
      <c r="D16" s="689" t="s">
        <v>41</v>
      </c>
      <c r="E16" s="689" t="s">
        <v>42</v>
      </c>
      <c r="F16" s="688" t="s">
        <v>73</v>
      </c>
      <c r="G16" s="688" t="s">
        <v>76</v>
      </c>
      <c r="H16" s="688" t="s">
        <v>44</v>
      </c>
    </row>
    <row r="17" spans="1:8" s="6" customFormat="1" ht="21.75" customHeight="1" x14ac:dyDescent="0.25">
      <c r="A17" s="36"/>
      <c r="B17" s="690"/>
      <c r="C17" s="688"/>
      <c r="D17" s="689"/>
      <c r="E17" s="689"/>
      <c r="F17" s="689"/>
      <c r="G17" s="689"/>
      <c r="H17" s="689"/>
    </row>
    <row r="18" spans="1:8" s="6" customFormat="1" ht="15.75" customHeight="1" x14ac:dyDescent="0.25">
      <c r="A18" s="37"/>
      <c r="B18" s="18"/>
      <c r="C18" s="38"/>
      <c r="D18" s="39"/>
      <c r="E18" s="39"/>
      <c r="F18" s="39"/>
      <c r="G18" s="39"/>
      <c r="H18" s="40"/>
    </row>
    <row r="19" spans="1:8" s="6" customFormat="1" ht="28.5" customHeight="1" x14ac:dyDescent="0.25">
      <c r="A19" s="529">
        <v>1</v>
      </c>
      <c r="B19" s="687" t="s">
        <v>467</v>
      </c>
      <c r="C19" s="687"/>
      <c r="D19" s="687"/>
      <c r="E19" s="687"/>
      <c r="F19" s="530"/>
      <c r="G19" s="530"/>
      <c r="H19" s="531"/>
    </row>
    <row r="20" spans="1:8" s="6" customFormat="1" ht="30.75" customHeight="1" x14ac:dyDescent="0.25">
      <c r="A20" s="508">
        <v>1.1000000000000001</v>
      </c>
      <c r="B20" s="509" t="s">
        <v>465</v>
      </c>
      <c r="C20" s="81"/>
      <c r="D20" s="82"/>
      <c r="E20" s="82"/>
      <c r="F20" s="82"/>
      <c r="G20" s="82"/>
      <c r="H20" s="511"/>
    </row>
    <row r="21" spans="1:8" s="5" customFormat="1" ht="24" customHeight="1" x14ac:dyDescent="0.25">
      <c r="A21" s="586"/>
      <c r="B21" s="587" t="s">
        <v>510</v>
      </c>
      <c r="C21" s="588"/>
      <c r="D21" s="589"/>
      <c r="E21" s="589"/>
      <c r="F21" s="589"/>
      <c r="G21" s="589"/>
      <c r="H21" s="274">
        <f>SUM(H22:H26)</f>
        <v>0</v>
      </c>
    </row>
    <row r="22" spans="1:8" s="5" customFormat="1" ht="21" customHeight="1" x14ac:dyDescent="0.25">
      <c r="A22" s="521"/>
      <c r="B22" s="355" t="s">
        <v>511</v>
      </c>
      <c r="C22" s="355" t="s">
        <v>43</v>
      </c>
      <c r="D22" s="232">
        <v>1</v>
      </c>
      <c r="E22" s="233">
        <v>1</v>
      </c>
      <c r="F22" s="234">
        <v>10</v>
      </c>
      <c r="G22" s="640"/>
      <c r="H22" s="235">
        <f>ROUND(+D22*E22*F22*G22,2)</f>
        <v>0</v>
      </c>
    </row>
    <row r="23" spans="1:8" s="598" customFormat="1" ht="21" customHeight="1" x14ac:dyDescent="0.25">
      <c r="A23" s="521"/>
      <c r="B23" s="568" t="s">
        <v>512</v>
      </c>
      <c r="C23" s="570" t="s">
        <v>43</v>
      </c>
      <c r="D23" s="232">
        <v>1</v>
      </c>
      <c r="E23" s="233">
        <v>0.5</v>
      </c>
      <c r="F23" s="234">
        <v>10</v>
      </c>
      <c r="G23" s="640"/>
      <c r="H23" s="235">
        <f>ROUND(+D23*E23*F23*G23,2)</f>
        <v>0</v>
      </c>
    </row>
    <row r="24" spans="1:8" s="5" customFormat="1" ht="31.5" customHeight="1" x14ac:dyDescent="0.25">
      <c r="A24" s="521"/>
      <c r="B24" s="355" t="s">
        <v>513</v>
      </c>
      <c r="C24" s="355" t="s">
        <v>43</v>
      </c>
      <c r="D24" s="232">
        <v>1</v>
      </c>
      <c r="E24" s="233">
        <v>0.5</v>
      </c>
      <c r="F24" s="234">
        <v>10</v>
      </c>
      <c r="G24" s="640"/>
      <c r="H24" s="235">
        <f>ROUND(+D24*E24*F24*G24,2)</f>
        <v>0</v>
      </c>
    </row>
    <row r="25" spans="1:8" s="5" customFormat="1" ht="13.8" x14ac:dyDescent="0.25">
      <c r="A25" s="521"/>
      <c r="B25" s="355" t="s">
        <v>514</v>
      </c>
      <c r="C25" s="355" t="s">
        <v>43</v>
      </c>
      <c r="D25" s="232">
        <v>1</v>
      </c>
      <c r="E25" s="233">
        <v>1</v>
      </c>
      <c r="F25" s="234">
        <v>10</v>
      </c>
      <c r="G25" s="640"/>
      <c r="H25" s="235">
        <f>ROUND(+D25*E25*F25*G25,2)</f>
        <v>0</v>
      </c>
    </row>
    <row r="26" spans="1:8" s="5" customFormat="1" ht="27.6" x14ac:dyDescent="0.25">
      <c r="A26" s="521"/>
      <c r="B26" s="355" t="s">
        <v>515</v>
      </c>
      <c r="C26" s="355" t="s">
        <v>43</v>
      </c>
      <c r="D26" s="232">
        <v>1</v>
      </c>
      <c r="E26" s="233">
        <v>0.5</v>
      </c>
      <c r="F26" s="234">
        <v>6</v>
      </c>
      <c r="G26" s="640"/>
      <c r="H26" s="235">
        <f>ROUND(+D26*E26*F26*G26,2)</f>
        <v>0</v>
      </c>
    </row>
    <row r="27" spans="1:8" s="5" customFormat="1" ht="24" customHeight="1" x14ac:dyDescent="0.25">
      <c r="A27" s="586"/>
      <c r="B27" s="590" t="s">
        <v>516</v>
      </c>
      <c r="C27" s="582"/>
      <c r="D27" s="583"/>
      <c r="E27" s="584"/>
      <c r="F27" s="585"/>
      <c r="G27" s="641"/>
      <c r="H27" s="274">
        <f>SUM(H28:H35)</f>
        <v>0</v>
      </c>
    </row>
    <row r="28" spans="1:8" s="5" customFormat="1" ht="21" customHeight="1" x14ac:dyDescent="0.25">
      <c r="A28" s="521"/>
      <c r="B28" s="356" t="s">
        <v>517</v>
      </c>
      <c r="C28" s="355" t="s">
        <v>43</v>
      </c>
      <c r="D28" s="232">
        <v>1</v>
      </c>
      <c r="E28" s="233">
        <v>0.5</v>
      </c>
      <c r="F28" s="234">
        <v>9</v>
      </c>
      <c r="G28" s="640"/>
      <c r="H28" s="235">
        <f t="shared" ref="H28:H35" si="0">ROUND(+D28*E28*F28*G28,2)</f>
        <v>0</v>
      </c>
    </row>
    <row r="29" spans="1:8" s="5" customFormat="1" ht="21" customHeight="1" x14ac:dyDescent="0.25">
      <c r="A29" s="521"/>
      <c r="B29" s="356" t="s">
        <v>518</v>
      </c>
      <c r="C29" s="355" t="s">
        <v>43</v>
      </c>
      <c r="D29" s="232">
        <v>1</v>
      </c>
      <c r="E29" s="233">
        <v>0.5</v>
      </c>
      <c r="F29" s="234">
        <v>8</v>
      </c>
      <c r="G29" s="640"/>
      <c r="H29" s="235">
        <f t="shared" si="0"/>
        <v>0</v>
      </c>
    </row>
    <row r="30" spans="1:8" s="5" customFormat="1" ht="21" customHeight="1" x14ac:dyDescent="0.25">
      <c r="A30" s="521"/>
      <c r="B30" s="355" t="s">
        <v>519</v>
      </c>
      <c r="C30" s="355" t="s">
        <v>43</v>
      </c>
      <c r="D30" s="232">
        <v>1</v>
      </c>
      <c r="E30" s="233">
        <v>0.5</v>
      </c>
      <c r="F30" s="234">
        <v>2</v>
      </c>
      <c r="G30" s="640"/>
      <c r="H30" s="235">
        <f t="shared" si="0"/>
        <v>0</v>
      </c>
    </row>
    <row r="31" spans="1:8" s="5" customFormat="1" ht="28.2" customHeight="1" x14ac:dyDescent="0.25">
      <c r="A31" s="521"/>
      <c r="B31" s="271" t="s">
        <v>520</v>
      </c>
      <c r="C31" s="355" t="s">
        <v>43</v>
      </c>
      <c r="D31" s="232">
        <v>1</v>
      </c>
      <c r="E31" s="233">
        <v>0.5</v>
      </c>
      <c r="F31" s="234">
        <v>10</v>
      </c>
      <c r="G31" s="640"/>
      <c r="H31" s="235">
        <f t="shared" si="0"/>
        <v>0</v>
      </c>
    </row>
    <row r="32" spans="1:8" s="5" customFormat="1" ht="16.95" customHeight="1" x14ac:dyDescent="0.25">
      <c r="A32" s="521"/>
      <c r="B32" s="271" t="s">
        <v>521</v>
      </c>
      <c r="C32" s="355" t="s">
        <v>43</v>
      </c>
      <c r="D32" s="232">
        <v>1</v>
      </c>
      <c r="E32" s="233">
        <v>0.5</v>
      </c>
      <c r="F32" s="234">
        <v>8</v>
      </c>
      <c r="G32" s="640"/>
      <c r="H32" s="235">
        <f t="shared" si="0"/>
        <v>0</v>
      </c>
    </row>
    <row r="33" spans="1:8" s="5" customFormat="1" ht="27.6" x14ac:dyDescent="0.25">
      <c r="A33" s="521"/>
      <c r="B33" s="271" t="s">
        <v>522</v>
      </c>
      <c r="C33" s="355" t="s">
        <v>43</v>
      </c>
      <c r="D33" s="232">
        <v>1</v>
      </c>
      <c r="E33" s="233">
        <v>0.5</v>
      </c>
      <c r="F33" s="234">
        <v>7</v>
      </c>
      <c r="G33" s="640"/>
      <c r="H33" s="235">
        <f t="shared" si="0"/>
        <v>0</v>
      </c>
    </row>
    <row r="34" spans="1:8" s="5" customFormat="1" ht="30" customHeight="1" x14ac:dyDescent="0.25">
      <c r="A34" s="521"/>
      <c r="B34" s="355" t="s">
        <v>523</v>
      </c>
      <c r="C34" s="355" t="s">
        <v>43</v>
      </c>
      <c r="D34" s="232">
        <v>1</v>
      </c>
      <c r="E34" s="233">
        <v>1</v>
      </c>
      <c r="F34" s="234">
        <v>10</v>
      </c>
      <c r="G34" s="640"/>
      <c r="H34" s="235">
        <f t="shared" si="0"/>
        <v>0</v>
      </c>
    </row>
    <row r="35" spans="1:8" s="598" customFormat="1" ht="19.95" customHeight="1" x14ac:dyDescent="0.25">
      <c r="A35" s="521"/>
      <c r="B35" s="570" t="s">
        <v>524</v>
      </c>
      <c r="C35" s="570" t="s">
        <v>43</v>
      </c>
      <c r="D35" s="232">
        <v>1</v>
      </c>
      <c r="E35" s="233">
        <v>1</v>
      </c>
      <c r="F35" s="234">
        <v>10</v>
      </c>
      <c r="G35" s="640"/>
      <c r="H35" s="235">
        <f t="shared" si="0"/>
        <v>0</v>
      </c>
    </row>
    <row r="36" spans="1:8" s="5" customFormat="1" ht="21" customHeight="1" x14ac:dyDescent="0.25">
      <c r="A36" s="586"/>
      <c r="B36" s="581" t="s">
        <v>46</v>
      </c>
      <c r="C36" s="582"/>
      <c r="D36" s="583"/>
      <c r="E36" s="584"/>
      <c r="F36" s="585"/>
      <c r="G36" s="641"/>
      <c r="H36" s="274">
        <f>SUM(H37:H40)</f>
        <v>0</v>
      </c>
    </row>
    <row r="37" spans="1:8" s="5" customFormat="1" ht="17.25" customHeight="1" x14ac:dyDescent="0.25">
      <c r="A37" s="521"/>
      <c r="B37" s="570" t="s">
        <v>527</v>
      </c>
      <c r="C37" s="570" t="s">
        <v>43</v>
      </c>
      <c r="D37" s="232">
        <v>1</v>
      </c>
      <c r="E37" s="233">
        <v>1</v>
      </c>
      <c r="F37" s="234">
        <v>10</v>
      </c>
      <c r="G37" s="640"/>
      <c r="H37" s="235">
        <f>ROUND(+D37*E37*F37*G37,2)</f>
        <v>0</v>
      </c>
    </row>
    <row r="38" spans="1:8" s="598" customFormat="1" ht="19.95" customHeight="1" x14ac:dyDescent="0.25">
      <c r="A38" s="521"/>
      <c r="B38" s="570" t="s">
        <v>525</v>
      </c>
      <c r="C38" s="570" t="s">
        <v>43</v>
      </c>
      <c r="D38" s="232">
        <v>1</v>
      </c>
      <c r="E38" s="233">
        <v>1</v>
      </c>
      <c r="F38" s="234">
        <v>10</v>
      </c>
      <c r="G38" s="640"/>
      <c r="H38" s="235">
        <f>ROUND(+D38*E38*F38*G38,2)</f>
        <v>0</v>
      </c>
    </row>
    <row r="39" spans="1:8" s="5" customFormat="1" ht="17.25" customHeight="1" x14ac:dyDescent="0.25">
      <c r="A39" s="521"/>
      <c r="B39" s="569" t="s">
        <v>526</v>
      </c>
      <c r="C39" s="570" t="s">
        <v>43</v>
      </c>
      <c r="D39" s="232">
        <v>1</v>
      </c>
      <c r="E39" s="233">
        <v>1</v>
      </c>
      <c r="F39" s="234">
        <v>10</v>
      </c>
      <c r="G39" s="640"/>
      <c r="H39" s="235">
        <f>ROUND(+D39*E39*F39*G39,2)</f>
        <v>0</v>
      </c>
    </row>
    <row r="40" spans="1:8" s="5" customFormat="1" ht="13.8" x14ac:dyDescent="0.25">
      <c r="A40" s="521"/>
      <c r="B40" s="356" t="s">
        <v>14</v>
      </c>
      <c r="C40" s="355" t="s">
        <v>43</v>
      </c>
      <c r="D40" s="232">
        <v>1</v>
      </c>
      <c r="E40" s="233">
        <v>0.5</v>
      </c>
      <c r="F40" s="234">
        <v>10</v>
      </c>
      <c r="G40" s="640"/>
      <c r="H40" s="235">
        <f>ROUND(+D40*E40*F40*G40,2)</f>
        <v>0</v>
      </c>
    </row>
    <row r="41" spans="1:8" s="6" customFormat="1" ht="21" customHeight="1" x14ac:dyDescent="0.25">
      <c r="A41" s="276"/>
      <c r="B41" s="277" t="s">
        <v>47</v>
      </c>
      <c r="C41" s="523"/>
      <c r="D41" s="524"/>
      <c r="E41" s="524"/>
      <c r="F41" s="525"/>
      <c r="G41" s="524"/>
      <c r="H41" s="274">
        <f>ROUND(+H21+H36+H27,2)</f>
        <v>0</v>
      </c>
    </row>
    <row r="42" spans="1:8" s="6" customFormat="1" ht="13.8" x14ac:dyDescent="0.25">
      <c r="A42" s="522"/>
      <c r="B42" s="229"/>
      <c r="C42" s="229"/>
      <c r="D42" s="19"/>
      <c r="E42" s="19"/>
      <c r="F42" s="19"/>
      <c r="G42" s="19"/>
      <c r="H42" s="351"/>
    </row>
    <row r="43" spans="1:8" s="6" customFormat="1" ht="19.2" customHeight="1" x14ac:dyDescent="0.25">
      <c r="A43" s="42">
        <v>1.2</v>
      </c>
      <c r="B43" s="510" t="s">
        <v>84</v>
      </c>
      <c r="C43" s="85"/>
      <c r="D43" s="82"/>
      <c r="E43" s="82"/>
      <c r="F43" s="82"/>
      <c r="G43" s="82"/>
      <c r="H43" s="516"/>
    </row>
    <row r="44" spans="1:8" s="6" customFormat="1" ht="19.5" customHeight="1" x14ac:dyDescent="0.25">
      <c r="A44" s="515"/>
      <c r="B44" s="43" t="s">
        <v>91</v>
      </c>
      <c r="C44" s="43"/>
      <c r="D44" s="44"/>
      <c r="E44" s="45"/>
      <c r="F44" s="46"/>
      <c r="G44" s="86"/>
      <c r="H44" s="273">
        <f>SUM(H45:H49)</f>
        <v>0</v>
      </c>
    </row>
    <row r="45" spans="1:8" s="5" customFormat="1" ht="20.25" customHeight="1" x14ac:dyDescent="0.25">
      <c r="A45" s="526"/>
      <c r="B45" s="236" t="s">
        <v>270</v>
      </c>
      <c r="C45" s="235" t="s">
        <v>7</v>
      </c>
      <c r="D45" s="232">
        <v>1</v>
      </c>
      <c r="E45" s="233">
        <v>1</v>
      </c>
      <c r="F45" s="234">
        <v>10</v>
      </c>
      <c r="G45" s="640"/>
      <c r="H45" s="235">
        <f>ROUND(D45*F45*G45*E45,2)</f>
        <v>0</v>
      </c>
    </row>
    <row r="46" spans="1:8" s="6" customFormat="1" ht="20.25" customHeight="1" x14ac:dyDescent="0.25">
      <c r="A46" s="526"/>
      <c r="B46" s="236" t="s">
        <v>271</v>
      </c>
      <c r="C46" s="235" t="s">
        <v>7</v>
      </c>
      <c r="D46" s="232">
        <v>1</v>
      </c>
      <c r="E46" s="233">
        <v>1</v>
      </c>
      <c r="F46" s="234">
        <v>10</v>
      </c>
      <c r="G46" s="640"/>
      <c r="H46" s="235">
        <f>ROUND(D46*F46*G46*E46,2)</f>
        <v>0</v>
      </c>
    </row>
    <row r="47" spans="1:8" s="6" customFormat="1" ht="20.25" customHeight="1" x14ac:dyDescent="0.25">
      <c r="A47" s="526"/>
      <c r="B47" s="355" t="s">
        <v>49</v>
      </c>
      <c r="C47" s="235" t="s">
        <v>7</v>
      </c>
      <c r="D47" s="232">
        <v>1</v>
      </c>
      <c r="E47" s="233">
        <v>1</v>
      </c>
      <c r="F47" s="234">
        <v>10</v>
      </c>
      <c r="G47" s="640"/>
      <c r="H47" s="235">
        <f>ROUND(D47*F47*G47*E47,2)</f>
        <v>0</v>
      </c>
    </row>
    <row r="48" spans="1:8" s="6" customFormat="1" ht="20.25" customHeight="1" x14ac:dyDescent="0.25">
      <c r="A48" s="526"/>
      <c r="B48" s="357" t="s">
        <v>50</v>
      </c>
      <c r="C48" s="235" t="s">
        <v>7</v>
      </c>
      <c r="D48" s="232">
        <v>1</v>
      </c>
      <c r="E48" s="233">
        <v>1</v>
      </c>
      <c r="F48" s="234">
        <v>10</v>
      </c>
      <c r="G48" s="640"/>
      <c r="H48" s="235">
        <f>ROUND(D48*F48*G48*E48,2)</f>
        <v>0</v>
      </c>
    </row>
    <row r="49" spans="1:8" s="6" customFormat="1" ht="20.25" customHeight="1" x14ac:dyDescent="0.25">
      <c r="A49" s="526"/>
      <c r="B49" s="357" t="s">
        <v>272</v>
      </c>
      <c r="C49" s="235" t="s">
        <v>7</v>
      </c>
      <c r="D49" s="232">
        <v>1</v>
      </c>
      <c r="E49" s="233">
        <v>1</v>
      </c>
      <c r="F49" s="234">
        <v>10</v>
      </c>
      <c r="G49" s="640"/>
      <c r="H49" s="235">
        <f>ROUND(D49*F49*G49*E49,2)</f>
        <v>0</v>
      </c>
    </row>
    <row r="50" spans="1:8" s="6" customFormat="1" ht="20.25" customHeight="1" x14ac:dyDescent="0.25">
      <c r="A50" s="515"/>
      <c r="B50" s="47" t="s">
        <v>48</v>
      </c>
      <c r="C50" s="43"/>
      <c r="D50" s="19"/>
      <c r="E50" s="229"/>
      <c r="F50" s="19"/>
      <c r="G50" s="642"/>
      <c r="H50" s="273">
        <f>SUM(H51:H57)</f>
        <v>0</v>
      </c>
    </row>
    <row r="51" spans="1:8" s="6" customFormat="1" ht="27.6" x14ac:dyDescent="0.25">
      <c r="A51" s="526"/>
      <c r="B51" s="356" t="s">
        <v>274</v>
      </c>
      <c r="C51" s="235" t="s">
        <v>7</v>
      </c>
      <c r="D51" s="232">
        <v>1</v>
      </c>
      <c r="E51" s="233">
        <v>1</v>
      </c>
      <c r="F51" s="234">
        <v>10</v>
      </c>
      <c r="G51" s="640"/>
      <c r="H51" s="235">
        <f t="shared" ref="H51:H57" si="1">ROUND(D51*F51*G51*E51,2)</f>
        <v>0</v>
      </c>
    </row>
    <row r="52" spans="1:8" s="6" customFormat="1" ht="27.6" x14ac:dyDescent="0.25">
      <c r="A52" s="526"/>
      <c r="B52" s="356" t="s">
        <v>273</v>
      </c>
      <c r="C52" s="235" t="s">
        <v>7</v>
      </c>
      <c r="D52" s="232">
        <v>1</v>
      </c>
      <c r="E52" s="233">
        <v>1</v>
      </c>
      <c r="F52" s="234">
        <v>10</v>
      </c>
      <c r="G52" s="640"/>
      <c r="H52" s="235">
        <f t="shared" si="1"/>
        <v>0</v>
      </c>
    </row>
    <row r="53" spans="1:8" s="6" customFormat="1" ht="13.8" x14ac:dyDescent="0.25">
      <c r="A53" s="526"/>
      <c r="B53" s="517" t="s">
        <v>275</v>
      </c>
      <c r="C53" s="349" t="s">
        <v>7</v>
      </c>
      <c r="D53" s="350">
        <f>+D22+D23+D24+D25+D26+D29+D32+D35+D39</f>
        <v>9</v>
      </c>
      <c r="E53" s="518">
        <v>1</v>
      </c>
      <c r="F53" s="519">
        <v>10</v>
      </c>
      <c r="G53" s="358"/>
      <c r="H53" s="235">
        <f t="shared" si="1"/>
        <v>0</v>
      </c>
    </row>
    <row r="54" spans="1:8" s="6" customFormat="1" ht="27.6" x14ac:dyDescent="0.25">
      <c r="A54" s="597"/>
      <c r="B54" s="520" t="s">
        <v>276</v>
      </c>
      <c r="C54" s="349" t="s">
        <v>7</v>
      </c>
      <c r="D54" s="350">
        <v>1</v>
      </c>
      <c r="E54" s="518">
        <v>1</v>
      </c>
      <c r="F54" s="519">
        <v>10</v>
      </c>
      <c r="G54" s="358"/>
      <c r="H54" s="349">
        <f t="shared" si="1"/>
        <v>0</v>
      </c>
    </row>
    <row r="55" spans="1:8" s="6" customFormat="1" ht="13.8" x14ac:dyDescent="0.25">
      <c r="A55" s="526"/>
      <c r="B55" s="520" t="s">
        <v>277</v>
      </c>
      <c r="C55" s="349" t="s">
        <v>7</v>
      </c>
      <c r="D55" s="350">
        <v>1</v>
      </c>
      <c r="E55" s="518">
        <v>1</v>
      </c>
      <c r="F55" s="519">
        <f>+F54</f>
        <v>10</v>
      </c>
      <c r="G55" s="358"/>
      <c r="H55" s="235">
        <f t="shared" si="1"/>
        <v>0</v>
      </c>
    </row>
    <row r="56" spans="1:8" s="6" customFormat="1" ht="13.8" x14ac:dyDescent="0.25">
      <c r="A56" s="526"/>
      <c r="B56" s="520" t="s">
        <v>278</v>
      </c>
      <c r="C56" s="349" t="s">
        <v>7</v>
      </c>
      <c r="D56" s="350">
        <v>1</v>
      </c>
      <c r="E56" s="518">
        <v>1</v>
      </c>
      <c r="F56" s="519">
        <v>1</v>
      </c>
      <c r="G56" s="358"/>
      <c r="H56" s="235">
        <f t="shared" si="1"/>
        <v>0</v>
      </c>
    </row>
    <row r="57" spans="1:8" s="6" customFormat="1" ht="13.8" x14ac:dyDescent="0.25">
      <c r="A57" s="527"/>
      <c r="B57" s="517" t="s">
        <v>52</v>
      </c>
      <c r="C57" s="349" t="s">
        <v>7</v>
      </c>
      <c r="D57" s="519">
        <v>1</v>
      </c>
      <c r="E57" s="518">
        <v>1</v>
      </c>
      <c r="F57" s="519">
        <f>+F55</f>
        <v>10</v>
      </c>
      <c r="G57" s="358"/>
      <c r="H57" s="235">
        <f t="shared" si="1"/>
        <v>0</v>
      </c>
    </row>
    <row r="58" spans="1:8" s="6" customFormat="1" ht="20.25" customHeight="1" x14ac:dyDescent="0.25">
      <c r="A58" s="49"/>
      <c r="B58" s="50" t="s">
        <v>77</v>
      </c>
      <c r="C58" s="51"/>
      <c r="D58" s="52"/>
      <c r="E58" s="52"/>
      <c r="F58" s="52"/>
      <c r="G58" s="643"/>
      <c r="H58" s="273">
        <f>+H44+H50</f>
        <v>0</v>
      </c>
    </row>
    <row r="59" spans="1:8" s="6" customFormat="1" ht="20.25" customHeight="1" x14ac:dyDescent="0.25">
      <c r="A59" s="49"/>
      <c r="B59" s="50"/>
      <c r="C59" s="51"/>
      <c r="D59" s="52"/>
      <c r="E59" s="52"/>
      <c r="F59" s="52"/>
      <c r="G59" s="52"/>
      <c r="H59" s="273"/>
    </row>
    <row r="60" spans="1:8" s="6" customFormat="1" ht="30" customHeight="1" x14ac:dyDescent="0.25">
      <c r="A60" s="606">
        <v>1.3</v>
      </c>
      <c r="B60" s="607" t="s">
        <v>288</v>
      </c>
      <c r="C60" s="608"/>
      <c r="D60" s="609"/>
      <c r="E60" s="609"/>
      <c r="F60" s="609"/>
      <c r="G60" s="609"/>
      <c r="H60" s="610"/>
    </row>
    <row r="61" spans="1:8" s="6" customFormat="1" ht="23.4" customHeight="1" x14ac:dyDescent="0.25">
      <c r="A61" s="611"/>
      <c r="B61" s="612" t="s">
        <v>279</v>
      </c>
      <c r="C61" s="613" t="s">
        <v>280</v>
      </c>
      <c r="D61" s="614"/>
      <c r="E61" s="615"/>
      <c r="F61" s="616">
        <v>1</v>
      </c>
      <c r="G61" s="613">
        <f>'Ppto covid OBRA'!J47</f>
        <v>0</v>
      </c>
      <c r="H61" s="613">
        <f t="shared" ref="H61:H68" si="2">+F61*G61</f>
        <v>0</v>
      </c>
    </row>
    <row r="62" spans="1:8" s="6" customFormat="1" ht="20.25" customHeight="1" x14ac:dyDescent="0.25">
      <c r="A62" s="617"/>
      <c r="B62" s="612" t="s">
        <v>281</v>
      </c>
      <c r="C62" s="613" t="s">
        <v>280</v>
      </c>
      <c r="D62" s="614"/>
      <c r="E62" s="615"/>
      <c r="F62" s="616">
        <v>1</v>
      </c>
      <c r="G62" s="613">
        <f>'Ppto covid OBRA'!J52</f>
        <v>0</v>
      </c>
      <c r="H62" s="618">
        <f t="shared" si="2"/>
        <v>0</v>
      </c>
    </row>
    <row r="63" spans="1:8" s="6" customFormat="1" ht="25.95" customHeight="1" x14ac:dyDescent="0.25">
      <c r="A63" s="617"/>
      <c r="B63" s="612" t="s">
        <v>282</v>
      </c>
      <c r="C63" s="613" t="s">
        <v>280</v>
      </c>
      <c r="D63" s="614"/>
      <c r="E63" s="615"/>
      <c r="F63" s="616">
        <v>1</v>
      </c>
      <c r="G63" s="613">
        <f>'Ppto covid OBRA'!J58</f>
        <v>0</v>
      </c>
      <c r="H63" s="618">
        <f t="shared" si="2"/>
        <v>0</v>
      </c>
    </row>
    <row r="64" spans="1:8" s="6" customFormat="1" ht="20.25" customHeight="1" x14ac:dyDescent="0.25">
      <c r="A64" s="617"/>
      <c r="B64" s="612" t="s">
        <v>283</v>
      </c>
      <c r="C64" s="613" t="s">
        <v>280</v>
      </c>
      <c r="D64" s="614"/>
      <c r="E64" s="615"/>
      <c r="F64" s="616">
        <v>1</v>
      </c>
      <c r="G64" s="613">
        <f>'Ppto covid OBRA'!J64</f>
        <v>0</v>
      </c>
      <c r="H64" s="618">
        <f t="shared" si="2"/>
        <v>0</v>
      </c>
    </row>
    <row r="65" spans="1:8" s="6" customFormat="1" ht="20.25" customHeight="1" x14ac:dyDescent="0.25">
      <c r="A65" s="617"/>
      <c r="B65" s="612" t="s">
        <v>284</v>
      </c>
      <c r="C65" s="613" t="s">
        <v>280</v>
      </c>
      <c r="D65" s="614"/>
      <c r="E65" s="615"/>
      <c r="F65" s="616">
        <v>1</v>
      </c>
      <c r="G65" s="613">
        <f>'Ppto covid OBRA'!J80</f>
        <v>0</v>
      </c>
      <c r="H65" s="618">
        <f t="shared" si="2"/>
        <v>0</v>
      </c>
    </row>
    <row r="66" spans="1:8" s="6" customFormat="1" ht="20.25" customHeight="1" x14ac:dyDescent="0.25">
      <c r="A66" s="617"/>
      <c r="B66" s="612" t="s">
        <v>285</v>
      </c>
      <c r="C66" s="613" t="s">
        <v>280</v>
      </c>
      <c r="D66" s="614"/>
      <c r="E66" s="615"/>
      <c r="F66" s="616">
        <v>1</v>
      </c>
      <c r="G66" s="613">
        <f>'Ppto covid OBRA'!J86</f>
        <v>0</v>
      </c>
      <c r="H66" s="618">
        <f t="shared" si="2"/>
        <v>0</v>
      </c>
    </row>
    <row r="67" spans="1:8" s="6" customFormat="1" ht="20.25" customHeight="1" x14ac:dyDescent="0.25">
      <c r="A67" s="617"/>
      <c r="B67" s="612" t="s">
        <v>286</v>
      </c>
      <c r="C67" s="613" t="s">
        <v>280</v>
      </c>
      <c r="D67" s="614"/>
      <c r="E67" s="615"/>
      <c r="F67" s="616">
        <v>1</v>
      </c>
      <c r="G67" s="613">
        <f>'Ppto covid OBRA'!J93</f>
        <v>0</v>
      </c>
      <c r="H67" s="618">
        <f t="shared" si="2"/>
        <v>0</v>
      </c>
    </row>
    <row r="68" spans="1:8" s="6" customFormat="1" ht="20.25" customHeight="1" x14ac:dyDescent="0.25">
      <c r="A68" s="619"/>
      <c r="B68" s="612" t="s">
        <v>287</v>
      </c>
      <c r="C68" s="613" t="s">
        <v>280</v>
      </c>
      <c r="D68" s="614"/>
      <c r="E68" s="615"/>
      <c r="F68" s="616">
        <v>1</v>
      </c>
      <c r="G68" s="613">
        <f>'Ppto covid OBRA'!J109</f>
        <v>0</v>
      </c>
      <c r="H68" s="618">
        <f t="shared" si="2"/>
        <v>0</v>
      </c>
    </row>
    <row r="69" spans="1:8" s="6" customFormat="1" ht="20.25" customHeight="1" x14ac:dyDescent="0.25">
      <c r="A69" s="619"/>
      <c r="B69" s="620" t="s">
        <v>466</v>
      </c>
      <c r="C69" s="621"/>
      <c r="D69" s="622"/>
      <c r="E69" s="622"/>
      <c r="F69" s="622"/>
      <c r="G69" s="622"/>
      <c r="H69" s="623">
        <f>SUM(H61:H68)</f>
        <v>0</v>
      </c>
    </row>
    <row r="70" spans="1:8" s="6" customFormat="1" ht="13.95" customHeight="1" x14ac:dyDescent="0.25">
      <c r="A70" s="522"/>
      <c r="B70" s="50"/>
      <c r="C70" s="51"/>
      <c r="D70" s="52"/>
      <c r="E70" s="52"/>
      <c r="F70" s="52"/>
      <c r="G70" s="52"/>
      <c r="H70" s="273"/>
    </row>
    <row r="71" spans="1:8" s="6" customFormat="1" ht="31.95" customHeight="1" x14ac:dyDescent="0.25">
      <c r="A71" s="733" t="s">
        <v>468</v>
      </c>
      <c r="B71" s="734"/>
      <c r="C71" s="734"/>
      <c r="D71" s="734"/>
      <c r="E71" s="734"/>
      <c r="F71" s="664"/>
      <c r="G71" s="664"/>
      <c r="H71" s="273">
        <f>+H41+H58+H69</f>
        <v>0</v>
      </c>
    </row>
    <row r="72" spans="1:8" s="6" customFormat="1" ht="13.8" x14ac:dyDescent="0.25">
      <c r="A72" s="53"/>
      <c r="B72" s="80"/>
      <c r="C72" s="80"/>
      <c r="D72" s="41"/>
      <c r="E72" s="41"/>
      <c r="F72" s="41"/>
      <c r="G72" s="41"/>
      <c r="H72" s="14"/>
    </row>
    <row r="73" spans="1:8" s="6" customFormat="1" ht="31.2" customHeight="1" x14ac:dyDescent="0.25">
      <c r="A73" s="529">
        <v>2</v>
      </c>
      <c r="B73" s="687" t="s">
        <v>469</v>
      </c>
      <c r="C73" s="687"/>
      <c r="D73" s="687"/>
      <c r="E73" s="687"/>
      <c r="F73" s="530"/>
      <c r="G73" s="530"/>
      <c r="H73" s="531"/>
    </row>
    <row r="74" spans="1:8" s="6" customFormat="1" ht="30.75" customHeight="1" x14ac:dyDescent="0.25">
      <c r="A74" s="508">
        <v>2.1</v>
      </c>
      <c r="B74" s="509" t="s">
        <v>465</v>
      </c>
      <c r="C74" s="81"/>
      <c r="D74" s="82"/>
      <c r="E74" s="82"/>
      <c r="F74" s="82"/>
      <c r="G74" s="82"/>
      <c r="H74" s="511"/>
    </row>
    <row r="75" spans="1:8" s="6" customFormat="1" ht="24" customHeight="1" x14ac:dyDescent="0.25">
      <c r="A75" s="512"/>
      <c r="B75" s="513" t="s">
        <v>45</v>
      </c>
      <c r="C75" s="229"/>
      <c r="D75" s="514"/>
      <c r="E75" s="514"/>
      <c r="F75" s="514"/>
      <c r="G75" s="514"/>
      <c r="H75" s="528"/>
    </row>
    <row r="76" spans="1:8" s="5" customFormat="1" ht="21" customHeight="1" x14ac:dyDescent="0.25">
      <c r="A76" s="602"/>
      <c r="B76" s="603" t="str">
        <f>+B22</f>
        <v>SUPERVISOR  DE OBRAS (Ing. Civil o Ing. Sanitario)</v>
      </c>
      <c r="C76" s="603" t="s">
        <v>43</v>
      </c>
      <c r="D76" s="350">
        <v>1</v>
      </c>
      <c r="E76" s="518">
        <v>1</v>
      </c>
      <c r="F76" s="519">
        <v>2</v>
      </c>
      <c r="G76" s="650"/>
      <c r="H76" s="349">
        <f>ROUND(D76*F76*G76*E76,2)</f>
        <v>0</v>
      </c>
    </row>
    <row r="77" spans="1:8" s="5" customFormat="1" ht="27.6" hidden="1" x14ac:dyDescent="0.25">
      <c r="A77" s="521"/>
      <c r="B77" s="271" t="str">
        <f>+B26</f>
        <v>ESPECIALISTA EN OBRAS ELÉCTRICAS O ELECTROMECÁNICAS (Ing. Electromecánico o Ing. Mecánico Electrisista o Ing. Electricista o Ing. Mecánico Eléctrico)</v>
      </c>
      <c r="C77" s="355" t="s">
        <v>43</v>
      </c>
      <c r="D77" s="232">
        <v>1</v>
      </c>
      <c r="E77" s="233">
        <v>0</v>
      </c>
      <c r="F77" s="234">
        <v>2</v>
      </c>
      <c r="G77" s="640"/>
      <c r="H77" s="235">
        <f t="shared" ref="H77" si="3">ROUND(D77*F77*G77*E77,2)</f>
        <v>0</v>
      </c>
    </row>
    <row r="78" spans="1:8" s="5" customFormat="1" ht="13.8" x14ac:dyDescent="0.25">
      <c r="A78" s="521"/>
      <c r="B78" s="271" t="str">
        <f>+B31</f>
        <v>ESPECIALISTA EN PRESUPUESTOS, PROGRAMACIÓN Y VALORIZACIONES (Ing. Sanitario o Ing Civil o Mecánica de Fluidos)</v>
      </c>
      <c r="C78" s="355" t="s">
        <v>43</v>
      </c>
      <c r="D78" s="232">
        <v>1</v>
      </c>
      <c r="E78" s="233">
        <v>0.25</v>
      </c>
      <c r="F78" s="234">
        <v>2</v>
      </c>
      <c r="G78" s="640"/>
      <c r="H78" s="235">
        <f>ROUND(D78*F78*G78*E78,2)</f>
        <v>0</v>
      </c>
    </row>
    <row r="79" spans="1:8" s="5" customFormat="1" ht="27.6" x14ac:dyDescent="0.25">
      <c r="A79" s="512"/>
      <c r="B79" s="271" t="str">
        <f>+B33</f>
        <v>ESPECIALISTA DE SISTEMA DE AUTOMATIZACIÓN – SISTEMA SCADA (Ing. Electrónico o Ing. Telecomunicaciones o Ing. Mecatrónica)</v>
      </c>
      <c r="C79" s="570" t="s">
        <v>43</v>
      </c>
      <c r="D79" s="232">
        <v>1</v>
      </c>
      <c r="E79" s="233">
        <v>1</v>
      </c>
      <c r="F79" s="234">
        <v>2</v>
      </c>
      <c r="G79" s="640"/>
      <c r="H79" s="235">
        <f>ROUND(D79*F79*G79*E79,2)</f>
        <v>0</v>
      </c>
    </row>
    <row r="80" spans="1:8" s="6" customFormat="1" ht="21" customHeight="1" x14ac:dyDescent="0.25">
      <c r="A80" s="276"/>
      <c r="B80" s="277" t="s">
        <v>483</v>
      </c>
      <c r="C80" s="523"/>
      <c r="D80" s="524"/>
      <c r="E80" s="524"/>
      <c r="F80" s="525"/>
      <c r="G80" s="524"/>
      <c r="H80" s="274">
        <f>ROUND(SUM(H76:H79),2)</f>
        <v>0</v>
      </c>
    </row>
    <row r="81" spans="1:8" s="6" customFormat="1" ht="13.8" x14ac:dyDescent="0.25">
      <c r="A81" s="522"/>
      <c r="B81" s="229"/>
      <c r="C81" s="229"/>
      <c r="D81" s="19"/>
      <c r="E81" s="19"/>
      <c r="F81" s="19"/>
      <c r="G81" s="19"/>
      <c r="H81" s="351"/>
    </row>
    <row r="82" spans="1:8" s="6" customFormat="1" ht="19.2" customHeight="1" x14ac:dyDescent="0.25">
      <c r="A82" s="42">
        <v>2.2000000000000002</v>
      </c>
      <c r="B82" s="510" t="s">
        <v>470</v>
      </c>
      <c r="C82" s="85"/>
      <c r="D82" s="82"/>
      <c r="E82" s="82"/>
      <c r="F82" s="82"/>
      <c r="G82" s="82"/>
      <c r="H82" s="516"/>
    </row>
    <row r="83" spans="1:8" s="6" customFormat="1" ht="19.5" customHeight="1" x14ac:dyDescent="0.25">
      <c r="A83" s="515"/>
      <c r="B83" s="43" t="s">
        <v>91</v>
      </c>
      <c r="C83" s="43"/>
      <c r="D83" s="44"/>
      <c r="E83" s="45"/>
      <c r="F83" s="46"/>
      <c r="G83" s="86"/>
      <c r="H83" s="273">
        <f>SUM(H84:H88)</f>
        <v>0</v>
      </c>
    </row>
    <row r="84" spans="1:8" s="6" customFormat="1" ht="20.25" customHeight="1" x14ac:dyDescent="0.25">
      <c r="A84" s="526"/>
      <c r="B84" s="236" t="s">
        <v>270</v>
      </c>
      <c r="C84" s="235" t="s">
        <v>7</v>
      </c>
      <c r="D84" s="232">
        <v>1</v>
      </c>
      <c r="E84" s="233">
        <v>0.5</v>
      </c>
      <c r="F84" s="234">
        <v>2</v>
      </c>
      <c r="G84" s="640"/>
      <c r="H84" s="235">
        <f>ROUND(D84*F84*G84*E84,2)</f>
        <v>0</v>
      </c>
    </row>
    <row r="85" spans="1:8" s="6" customFormat="1" ht="20.25" customHeight="1" x14ac:dyDescent="0.25">
      <c r="A85" s="526"/>
      <c r="B85" s="236" t="s">
        <v>271</v>
      </c>
      <c r="C85" s="235" t="s">
        <v>7</v>
      </c>
      <c r="D85" s="232">
        <v>1</v>
      </c>
      <c r="E85" s="233">
        <v>0.25</v>
      </c>
      <c r="F85" s="234">
        <v>2</v>
      </c>
      <c r="G85" s="640"/>
      <c r="H85" s="235">
        <f>ROUND(D85*F85*G85*E85,2)</f>
        <v>0</v>
      </c>
    </row>
    <row r="86" spans="1:8" s="6" customFormat="1" ht="20.25" customHeight="1" x14ac:dyDescent="0.25">
      <c r="A86" s="526"/>
      <c r="B86" s="355" t="s">
        <v>49</v>
      </c>
      <c r="C86" s="235" t="s">
        <v>7</v>
      </c>
      <c r="D86" s="232">
        <v>1</v>
      </c>
      <c r="E86" s="233">
        <v>0.25</v>
      </c>
      <c r="F86" s="234">
        <v>2</v>
      </c>
      <c r="G86" s="640"/>
      <c r="H86" s="235">
        <f>ROUND(D86*F86*G86*E86,2)</f>
        <v>0</v>
      </c>
    </row>
    <row r="87" spans="1:8" s="6" customFormat="1" ht="20.25" customHeight="1" x14ac:dyDescent="0.25">
      <c r="A87" s="526"/>
      <c r="B87" s="357" t="s">
        <v>50</v>
      </c>
      <c r="C87" s="235" t="s">
        <v>7</v>
      </c>
      <c r="D87" s="232">
        <v>1</v>
      </c>
      <c r="E87" s="233">
        <v>0.25</v>
      </c>
      <c r="F87" s="234">
        <v>2</v>
      </c>
      <c r="G87" s="640"/>
      <c r="H87" s="235">
        <f>ROUND(D87*F87*G87*E87,2)</f>
        <v>0</v>
      </c>
    </row>
    <row r="88" spans="1:8" s="6" customFormat="1" ht="20.25" customHeight="1" x14ac:dyDescent="0.25">
      <c r="A88" s="526"/>
      <c r="B88" s="357" t="s">
        <v>272</v>
      </c>
      <c r="C88" s="235" t="s">
        <v>7</v>
      </c>
      <c r="D88" s="232">
        <v>1</v>
      </c>
      <c r="E88" s="233">
        <v>0.25</v>
      </c>
      <c r="F88" s="234">
        <v>2</v>
      </c>
      <c r="G88" s="640"/>
      <c r="H88" s="235">
        <f>ROUND(D88*F88*G88*E88,2)</f>
        <v>0</v>
      </c>
    </row>
    <row r="89" spans="1:8" s="6" customFormat="1" ht="20.25" customHeight="1" x14ac:dyDescent="0.25">
      <c r="A89" s="515"/>
      <c r="B89" s="47" t="s">
        <v>48</v>
      </c>
      <c r="C89" s="43"/>
      <c r="D89" s="19"/>
      <c r="E89" s="229"/>
      <c r="F89" s="19"/>
      <c r="G89" s="19"/>
      <c r="H89" s="273">
        <f>SUM(H90:H93)</f>
        <v>0</v>
      </c>
    </row>
    <row r="90" spans="1:8" s="6" customFormat="1" ht="27.6" x14ac:dyDescent="0.25">
      <c r="A90" s="526"/>
      <c r="B90" s="356" t="s">
        <v>274</v>
      </c>
      <c r="C90" s="235" t="s">
        <v>7</v>
      </c>
      <c r="D90" s="232">
        <v>1</v>
      </c>
      <c r="E90" s="233">
        <v>0.5</v>
      </c>
      <c r="F90" s="234">
        <v>2</v>
      </c>
      <c r="G90" s="640"/>
      <c r="H90" s="235">
        <f>ROUND(D90*F90*G90*E90,2)</f>
        <v>0</v>
      </c>
    </row>
    <row r="91" spans="1:8" s="6" customFormat="1" ht="27.6" x14ac:dyDescent="0.25">
      <c r="A91" s="526"/>
      <c r="B91" s="356" t="s">
        <v>273</v>
      </c>
      <c r="C91" s="235" t="s">
        <v>7</v>
      </c>
      <c r="D91" s="232">
        <v>1</v>
      </c>
      <c r="E91" s="233">
        <v>0.5</v>
      </c>
      <c r="F91" s="234">
        <v>2</v>
      </c>
      <c r="G91" s="640"/>
      <c r="H91" s="235">
        <f>ROUND(D91*F91*G91*E91,2)</f>
        <v>0</v>
      </c>
    </row>
    <row r="92" spans="1:8" s="6" customFormat="1" ht="17.399999999999999" customHeight="1" x14ac:dyDescent="0.25">
      <c r="A92" s="526"/>
      <c r="B92" s="517" t="s">
        <v>275</v>
      </c>
      <c r="C92" s="349" t="s">
        <v>7</v>
      </c>
      <c r="D92" s="350">
        <v>2</v>
      </c>
      <c r="E92" s="518">
        <v>1</v>
      </c>
      <c r="F92" s="519">
        <v>2</v>
      </c>
      <c r="G92" s="640"/>
      <c r="H92" s="235">
        <f>ROUND(D92*F92*G92*E92,2)</f>
        <v>0</v>
      </c>
    </row>
    <row r="93" spans="1:8" s="6" customFormat="1" ht="17.399999999999999" customHeight="1" x14ac:dyDescent="0.25">
      <c r="A93" s="527"/>
      <c r="B93" s="517" t="s">
        <v>52</v>
      </c>
      <c r="C93" s="349" t="s">
        <v>7</v>
      </c>
      <c r="D93" s="519">
        <v>1</v>
      </c>
      <c r="E93" s="518">
        <v>1</v>
      </c>
      <c r="F93" s="519">
        <v>2</v>
      </c>
      <c r="G93" s="640"/>
      <c r="H93" s="235">
        <f>ROUND(D93*F93*G93*E93,2)</f>
        <v>0</v>
      </c>
    </row>
    <row r="94" spans="1:8" s="6" customFormat="1" ht="20.25" customHeight="1" x14ac:dyDescent="0.25">
      <c r="A94" s="49"/>
      <c r="B94" s="50" t="s">
        <v>482</v>
      </c>
      <c r="C94" s="51"/>
      <c r="D94" s="52"/>
      <c r="E94" s="52"/>
      <c r="F94" s="52"/>
      <c r="G94" s="52"/>
      <c r="H94" s="273">
        <f>+H83+H89</f>
        <v>0</v>
      </c>
    </row>
    <row r="95" spans="1:8" s="6" customFormat="1" ht="20.25" customHeight="1" x14ac:dyDescent="0.25">
      <c r="A95" s="49"/>
      <c r="B95" s="50"/>
      <c r="C95" s="51"/>
      <c r="D95" s="52"/>
      <c r="E95" s="52"/>
      <c r="F95" s="52"/>
      <c r="G95" s="52"/>
      <c r="H95" s="273"/>
    </row>
    <row r="96" spans="1:8" s="6" customFormat="1" ht="63" customHeight="1" x14ac:dyDescent="0.25">
      <c r="A96" s="606">
        <v>2.2999999999999998</v>
      </c>
      <c r="B96" s="624" t="s">
        <v>471</v>
      </c>
      <c r="C96" s="625"/>
      <c r="D96" s="626"/>
      <c r="E96" s="626"/>
      <c r="F96" s="626"/>
      <c r="G96" s="626"/>
      <c r="H96" s="627"/>
    </row>
    <row r="97" spans="1:8" s="6" customFormat="1" ht="20.25" hidden="1" customHeight="1" x14ac:dyDescent="0.25">
      <c r="A97" s="628"/>
      <c r="B97" s="612" t="s">
        <v>279</v>
      </c>
      <c r="C97" s="613" t="s">
        <v>280</v>
      </c>
      <c r="D97" s="614"/>
      <c r="E97" s="615"/>
      <c r="F97" s="616">
        <v>1</v>
      </c>
      <c r="G97" s="613">
        <f>+'Ppto covid OBRA'!J89</f>
        <v>0</v>
      </c>
      <c r="H97" s="629">
        <f t="shared" ref="H97:H104" si="4">+F97*G97</f>
        <v>0</v>
      </c>
    </row>
    <row r="98" spans="1:8" s="5" customFormat="1" ht="20.25" customHeight="1" x14ac:dyDescent="0.25">
      <c r="A98" s="617"/>
      <c r="B98" s="612" t="s">
        <v>281</v>
      </c>
      <c r="C98" s="613" t="s">
        <v>280</v>
      </c>
      <c r="D98" s="614"/>
      <c r="E98" s="615"/>
      <c r="F98" s="616">
        <v>1</v>
      </c>
      <c r="G98" s="613">
        <f>'Ppto covid PRUEBAS'!J52</f>
        <v>0</v>
      </c>
      <c r="H98" s="618">
        <f t="shared" si="4"/>
        <v>0</v>
      </c>
    </row>
    <row r="99" spans="1:8" s="5" customFormat="1" ht="25.95" customHeight="1" x14ac:dyDescent="0.25">
      <c r="A99" s="617"/>
      <c r="B99" s="612" t="s">
        <v>282</v>
      </c>
      <c r="C99" s="613" t="s">
        <v>280</v>
      </c>
      <c r="D99" s="614"/>
      <c r="E99" s="615"/>
      <c r="F99" s="616">
        <v>1</v>
      </c>
      <c r="G99" s="613">
        <f>'Ppto covid PRUEBAS'!J58</f>
        <v>0</v>
      </c>
      <c r="H99" s="618">
        <f t="shared" si="4"/>
        <v>0</v>
      </c>
    </row>
    <row r="100" spans="1:8" s="5" customFormat="1" ht="20.25" customHeight="1" x14ac:dyDescent="0.25">
      <c r="A100" s="617"/>
      <c r="B100" s="612" t="s">
        <v>283</v>
      </c>
      <c r="C100" s="613" t="s">
        <v>280</v>
      </c>
      <c r="D100" s="614"/>
      <c r="E100" s="615"/>
      <c r="F100" s="616">
        <v>1</v>
      </c>
      <c r="G100" s="613">
        <f>'Ppto covid PRUEBAS'!J64</f>
        <v>0</v>
      </c>
      <c r="H100" s="618">
        <f t="shared" si="4"/>
        <v>0</v>
      </c>
    </row>
    <row r="101" spans="1:8" s="5" customFormat="1" ht="20.25" customHeight="1" x14ac:dyDescent="0.25">
      <c r="A101" s="617"/>
      <c r="B101" s="612" t="s">
        <v>284</v>
      </c>
      <c r="C101" s="613" t="s">
        <v>280</v>
      </c>
      <c r="D101" s="614"/>
      <c r="E101" s="615"/>
      <c r="F101" s="616">
        <v>1</v>
      </c>
      <c r="G101" s="613">
        <f>'Ppto covid PRUEBAS'!J80</f>
        <v>0</v>
      </c>
      <c r="H101" s="618">
        <f t="shared" si="4"/>
        <v>0</v>
      </c>
    </row>
    <row r="102" spans="1:8" s="5" customFormat="1" ht="20.25" customHeight="1" x14ac:dyDescent="0.25">
      <c r="A102" s="617"/>
      <c r="B102" s="612" t="s">
        <v>285</v>
      </c>
      <c r="C102" s="613" t="s">
        <v>280</v>
      </c>
      <c r="D102" s="614"/>
      <c r="E102" s="615"/>
      <c r="F102" s="616">
        <v>1</v>
      </c>
      <c r="G102" s="613">
        <f>'Ppto covid PRUEBAS'!J86</f>
        <v>0</v>
      </c>
      <c r="H102" s="618">
        <f t="shared" si="4"/>
        <v>0</v>
      </c>
    </row>
    <row r="103" spans="1:8" s="5" customFormat="1" ht="20.25" customHeight="1" x14ac:dyDescent="0.25">
      <c r="A103" s="617"/>
      <c r="B103" s="612" t="s">
        <v>286</v>
      </c>
      <c r="C103" s="613" t="s">
        <v>280</v>
      </c>
      <c r="D103" s="614"/>
      <c r="E103" s="615"/>
      <c r="F103" s="616">
        <v>1</v>
      </c>
      <c r="G103" s="613">
        <f>'Ppto covid PRUEBAS'!J93</f>
        <v>0</v>
      </c>
      <c r="H103" s="618">
        <f t="shared" si="4"/>
        <v>0</v>
      </c>
    </row>
    <row r="104" spans="1:8" s="5" customFormat="1" ht="20.25" customHeight="1" x14ac:dyDescent="0.25">
      <c r="A104" s="619"/>
      <c r="B104" s="612" t="s">
        <v>287</v>
      </c>
      <c r="C104" s="613" t="s">
        <v>280</v>
      </c>
      <c r="D104" s="614"/>
      <c r="E104" s="615"/>
      <c r="F104" s="616">
        <v>1</v>
      </c>
      <c r="G104" s="613">
        <f>'Ppto covid PRUEBAS'!J109</f>
        <v>0</v>
      </c>
      <c r="H104" s="618">
        <f t="shared" si="4"/>
        <v>0</v>
      </c>
    </row>
    <row r="105" spans="1:8" s="6" customFormat="1" ht="20.25" customHeight="1" x14ac:dyDescent="0.25">
      <c r="A105" s="630"/>
      <c r="B105" s="620" t="s">
        <v>481</v>
      </c>
      <c r="C105" s="621"/>
      <c r="D105" s="622"/>
      <c r="E105" s="622"/>
      <c r="F105" s="622"/>
      <c r="G105" s="622"/>
      <c r="H105" s="623">
        <f>SUM(H97:H104)</f>
        <v>0</v>
      </c>
    </row>
    <row r="106" spans="1:8" s="6" customFormat="1" ht="13.95" customHeight="1" x14ac:dyDescent="0.25">
      <c r="A106" s="49"/>
      <c r="B106" s="50"/>
      <c r="C106" s="51"/>
      <c r="D106" s="52"/>
      <c r="E106" s="52"/>
      <c r="F106" s="52"/>
      <c r="G106" s="52"/>
      <c r="H106" s="273"/>
    </row>
    <row r="107" spans="1:8" s="6" customFormat="1" ht="28.95" customHeight="1" x14ac:dyDescent="0.25">
      <c r="A107" s="735" t="s">
        <v>472</v>
      </c>
      <c r="B107" s="736"/>
      <c r="C107" s="736"/>
      <c r="D107" s="736"/>
      <c r="E107" s="736"/>
      <c r="F107" s="736"/>
      <c r="G107" s="279"/>
      <c r="H107" s="280">
        <f>+H80+H94+H105</f>
        <v>0</v>
      </c>
    </row>
    <row r="108" spans="1:8" s="6" customFormat="1" ht="13.8" x14ac:dyDescent="0.25">
      <c r="A108" s="53"/>
      <c r="B108" s="108"/>
      <c r="C108" s="108"/>
      <c r="D108" s="41"/>
      <c r="E108" s="41"/>
      <c r="F108" s="41"/>
      <c r="G108" s="41"/>
      <c r="H108" s="14"/>
    </row>
    <row r="109" spans="1:8" s="6" customFormat="1" ht="13.8" x14ac:dyDescent="0.25">
      <c r="A109" s="53"/>
      <c r="B109" s="108"/>
      <c r="C109" s="108"/>
      <c r="D109" s="41"/>
      <c r="E109" s="41"/>
      <c r="F109" s="41"/>
      <c r="G109" s="41"/>
      <c r="H109" s="14"/>
    </row>
    <row r="110" spans="1:8" s="6" customFormat="1" ht="28.5" customHeight="1" x14ac:dyDescent="0.25">
      <c r="A110" s="529">
        <v>3</v>
      </c>
      <c r="B110" s="687" t="s">
        <v>504</v>
      </c>
      <c r="C110" s="687"/>
      <c r="D110" s="687"/>
      <c r="E110" s="687"/>
      <c r="F110" s="530"/>
      <c r="G110" s="530"/>
      <c r="H110" s="531"/>
    </row>
    <row r="111" spans="1:8" s="6" customFormat="1" ht="20.25" customHeight="1" x14ac:dyDescent="0.25">
      <c r="A111" s="54"/>
      <c r="B111" s="27" t="s">
        <v>85</v>
      </c>
      <c r="C111" s="83"/>
      <c r="D111" s="571"/>
      <c r="E111" s="571"/>
      <c r="F111" s="571"/>
      <c r="G111" s="571"/>
      <c r="H111" s="273">
        <f>SUM(H112:H122)</f>
        <v>0</v>
      </c>
    </row>
    <row r="112" spans="1:8" s="6" customFormat="1" ht="15.75" customHeight="1" x14ac:dyDescent="0.25">
      <c r="A112" s="352"/>
      <c r="B112" s="532" t="s">
        <v>473</v>
      </c>
      <c r="C112" s="533" t="s">
        <v>206</v>
      </c>
      <c r="D112" s="572"/>
      <c r="E112" s="573"/>
      <c r="F112" s="574"/>
      <c r="G112" s="575"/>
      <c r="H112" s="663">
        <f>SUM(G113:G119)</f>
        <v>0</v>
      </c>
    </row>
    <row r="113" spans="1:8" s="6" customFormat="1" ht="15.75" customHeight="1" x14ac:dyDescent="0.25">
      <c r="A113" s="352"/>
      <c r="B113" s="655" t="str">
        <f>+B22</f>
        <v>SUPERVISOR  DE OBRAS (Ing. Civil o Ing. Sanitario)</v>
      </c>
      <c r="C113" s="656" t="s">
        <v>7</v>
      </c>
      <c r="D113" s="657">
        <v>1</v>
      </c>
      <c r="E113" s="658">
        <v>1</v>
      </c>
      <c r="F113" s="659"/>
      <c r="G113" s="660">
        <f>F113*E113</f>
        <v>0</v>
      </c>
      <c r="H113" s="542"/>
    </row>
    <row r="114" spans="1:8" s="5" customFormat="1" ht="15.75" customHeight="1" x14ac:dyDescent="0.25">
      <c r="A114" s="353"/>
      <c r="B114" s="655" t="str">
        <f>+B26</f>
        <v>ESPECIALISTA EN OBRAS ELÉCTRICAS O ELECTROMECÁNICAS (Ing. Electromecánico o Ing. Mecánico Electrisista o Ing. Electricista o Ing. Mecánico Eléctrico)</v>
      </c>
      <c r="C114" s="656" t="s">
        <v>7</v>
      </c>
      <c r="D114" s="661">
        <v>1</v>
      </c>
      <c r="E114" s="658">
        <v>0.5</v>
      </c>
      <c r="F114" s="662"/>
      <c r="G114" s="660">
        <f t="shared" ref="G114:G119" si="5">F114*E114</f>
        <v>0</v>
      </c>
      <c r="H114" s="542"/>
    </row>
    <row r="115" spans="1:8" s="5" customFormat="1" ht="15.75" customHeight="1" x14ac:dyDescent="0.25">
      <c r="A115" s="353"/>
      <c r="B115" s="655" t="str">
        <f>+B39</f>
        <v>TECNICOS DE INGENIERÍA, INSPECTORES DE CAMPO Y DE INFORMACION DE CARTOLOGIA</v>
      </c>
      <c r="C115" s="656" t="s">
        <v>7</v>
      </c>
      <c r="D115" s="661">
        <v>1</v>
      </c>
      <c r="E115" s="658">
        <v>1</v>
      </c>
      <c r="F115" s="662"/>
      <c r="G115" s="660">
        <f t="shared" si="5"/>
        <v>0</v>
      </c>
      <c r="H115" s="542"/>
    </row>
    <row r="116" spans="1:8" s="5" customFormat="1" ht="15.75" customHeight="1" x14ac:dyDescent="0.25">
      <c r="A116" s="353"/>
      <c r="B116" s="655" t="str">
        <f>+B37</f>
        <v>TOPOGRAFO TÉCNICO  (INCL: TRABAJO DE CAMPO Y DE GABINETE)</v>
      </c>
      <c r="C116" s="656" t="s">
        <v>7</v>
      </c>
      <c r="D116" s="661">
        <v>1</v>
      </c>
      <c r="E116" s="658">
        <v>0.25</v>
      </c>
      <c r="F116" s="662"/>
      <c r="G116" s="660">
        <f t="shared" si="5"/>
        <v>0</v>
      </c>
      <c r="H116" s="542"/>
    </row>
    <row r="117" spans="1:8" s="5" customFormat="1" ht="15.75" customHeight="1" x14ac:dyDescent="0.25">
      <c r="A117" s="353"/>
      <c r="B117" s="655" t="str">
        <f>+B38</f>
        <v>PERSONAL AUXILIAR DE TOPOGRAFIA  (Ayudante de trabajo de campo)</v>
      </c>
      <c r="C117" s="656" t="s">
        <v>7</v>
      </c>
      <c r="D117" s="661">
        <v>1</v>
      </c>
      <c r="E117" s="658">
        <v>0.25</v>
      </c>
      <c r="F117" s="662"/>
      <c r="G117" s="660">
        <f t="shared" si="5"/>
        <v>0</v>
      </c>
      <c r="H117" s="542"/>
    </row>
    <row r="118" spans="1:8" s="5" customFormat="1" ht="15.75" customHeight="1" x14ac:dyDescent="0.25">
      <c r="A118" s="353"/>
      <c r="B118" s="655" t="str">
        <f>+B40</f>
        <v>DIBUJANTE  TÉCNICO, PARA DESARROLLO DE PLANOS EN  AUTO CAD - GIS</v>
      </c>
      <c r="C118" s="656" t="s">
        <v>7</v>
      </c>
      <c r="D118" s="661">
        <v>1</v>
      </c>
      <c r="E118" s="658">
        <v>0.25</v>
      </c>
      <c r="F118" s="662"/>
      <c r="G118" s="660">
        <f t="shared" si="5"/>
        <v>0</v>
      </c>
      <c r="H118" s="542"/>
    </row>
    <row r="119" spans="1:8" s="6" customFormat="1" ht="15.75" customHeight="1" x14ac:dyDescent="0.25">
      <c r="A119" s="352"/>
      <c r="B119" s="655" t="s">
        <v>474</v>
      </c>
      <c r="C119" s="656"/>
      <c r="D119" s="661"/>
      <c r="E119" s="658">
        <v>2.4E-2</v>
      </c>
      <c r="F119" s="662"/>
      <c r="G119" s="660">
        <f t="shared" si="5"/>
        <v>0</v>
      </c>
      <c r="H119" s="542"/>
    </row>
    <row r="120" spans="1:8" s="6" customFormat="1" ht="15.75" customHeight="1" x14ac:dyDescent="0.25">
      <c r="A120" s="352"/>
      <c r="B120" s="532" t="s">
        <v>475</v>
      </c>
      <c r="C120" s="533" t="s">
        <v>206</v>
      </c>
      <c r="D120" s="576"/>
      <c r="E120" s="536">
        <v>1</v>
      </c>
      <c r="F120" s="537"/>
      <c r="G120" s="538">
        <v>3708.3333333333335</v>
      </c>
      <c r="H120" s="663">
        <f>+G120*F120*E120</f>
        <v>0</v>
      </c>
    </row>
    <row r="121" spans="1:8" s="6" customFormat="1" ht="15.75" customHeight="1" x14ac:dyDescent="0.25">
      <c r="A121" s="352"/>
      <c r="B121" s="532" t="s">
        <v>476</v>
      </c>
      <c r="C121" s="533" t="s">
        <v>206</v>
      </c>
      <c r="D121" s="576"/>
      <c r="E121" s="539">
        <v>1</v>
      </c>
      <c r="F121" s="540">
        <v>0.5</v>
      </c>
      <c r="G121" s="541">
        <v>17161.575000000001</v>
      </c>
      <c r="H121" s="663"/>
    </row>
    <row r="122" spans="1:8" s="6" customFormat="1" ht="30.6" customHeight="1" x14ac:dyDescent="0.25">
      <c r="A122" s="352"/>
      <c r="B122" s="631" t="s">
        <v>477</v>
      </c>
      <c r="C122" s="632" t="s">
        <v>206</v>
      </c>
      <c r="D122" s="633"/>
      <c r="E122" s="634">
        <v>1</v>
      </c>
      <c r="F122" s="635">
        <v>1</v>
      </c>
      <c r="G122" s="636">
        <v>5984.21</v>
      </c>
      <c r="H122" s="632">
        <f>'Ppto covid RECEPCION'!J117</f>
        <v>0</v>
      </c>
    </row>
    <row r="123" spans="1:8" s="6" customFormat="1" ht="13.8" x14ac:dyDescent="0.25">
      <c r="A123" s="48"/>
      <c r="B123" s="12"/>
      <c r="C123" s="41"/>
      <c r="D123" s="577"/>
      <c r="E123" s="578"/>
      <c r="F123" s="579"/>
      <c r="G123" s="580"/>
      <c r="H123" s="84"/>
    </row>
    <row r="124" spans="1:8" s="6" customFormat="1" ht="21.75" customHeight="1" x14ac:dyDescent="0.25">
      <c r="A124" s="283"/>
      <c r="B124" s="284" t="s">
        <v>505</v>
      </c>
      <c r="C124" s="278"/>
      <c r="D124" s="279"/>
      <c r="E124" s="279"/>
      <c r="F124" s="279"/>
      <c r="G124" s="278"/>
      <c r="H124" s="280">
        <f>+H111</f>
        <v>0</v>
      </c>
    </row>
    <row r="125" spans="1:8" s="6" customFormat="1" ht="15.75" customHeight="1" x14ac:dyDescent="0.25">
      <c r="A125" s="53"/>
      <c r="B125" s="79"/>
      <c r="C125" s="79"/>
      <c r="D125" s="41"/>
      <c r="E125" s="41"/>
      <c r="F125" s="41"/>
      <c r="G125" s="79"/>
      <c r="H125" s="13"/>
    </row>
    <row r="126" spans="1:8" s="6" customFormat="1" ht="42" customHeight="1" x14ac:dyDescent="0.25">
      <c r="A126" s="543" t="s">
        <v>492</v>
      </c>
      <c r="B126" s="674" t="s">
        <v>490</v>
      </c>
      <c r="C126" s="675"/>
      <c r="D126" s="675"/>
      <c r="E126" s="675"/>
      <c r="F126" s="675"/>
      <c r="G126" s="675"/>
      <c r="H126" s="676"/>
    </row>
    <row r="127" spans="1:8" s="5" customFormat="1" ht="21.75" customHeight="1" x14ac:dyDescent="0.25">
      <c r="A127" s="287">
        <f>+A20</f>
        <v>1.1000000000000001</v>
      </c>
      <c r="B127" s="677" t="str">
        <f>+B20</f>
        <v>SUELDOS Y SALARIOS  DEL PERSONAL PROFESIONAL Y TÉCNICO (Incluye Leyes Sociales)</v>
      </c>
      <c r="C127" s="677"/>
      <c r="D127" s="677"/>
      <c r="E127" s="677"/>
      <c r="F127" s="677"/>
      <c r="G127" s="677"/>
      <c r="H127" s="288">
        <f>+H41</f>
        <v>0</v>
      </c>
    </row>
    <row r="128" spans="1:8" s="5" customFormat="1" ht="21.75" customHeight="1" x14ac:dyDescent="0.25">
      <c r="A128" s="287">
        <f>+A43</f>
        <v>1.2</v>
      </c>
      <c r="B128" s="678" t="str">
        <f>+B43</f>
        <v>ALQUILERES Y SERVICIOS A EMPLEAR DURANTE LA EJECUCIÓN DE LA OBRA</v>
      </c>
      <c r="C128" s="678"/>
      <c r="D128" s="678"/>
      <c r="E128" s="678"/>
      <c r="F128" s="678"/>
      <c r="G128" s="678"/>
      <c r="H128" s="289">
        <f>+H58</f>
        <v>0</v>
      </c>
    </row>
    <row r="129" spans="1:8" s="5" customFormat="1" ht="27.6" customHeight="1" x14ac:dyDescent="0.25">
      <c r="A129" s="637">
        <f>+A60</f>
        <v>1.3</v>
      </c>
      <c r="B129" s="671" t="str">
        <f>+B60</f>
        <v>ELABORACIÓN, IMPLEMENTACIÓN Y EJECUCIÓN DEL PLAN DE VIGILANCIA, PREVENCIÓN Y CONTROL DEL COVID-19 PARA PERSONAL DE LA SUPERVISION DE OBRA</v>
      </c>
      <c r="C129" s="672"/>
      <c r="D129" s="672"/>
      <c r="E129" s="672"/>
      <c r="F129" s="672"/>
      <c r="G129" s="673"/>
      <c r="H129" s="638">
        <f>+H69</f>
        <v>0</v>
      </c>
    </row>
    <row r="130" spans="1:8" ht="24.75" customHeight="1" x14ac:dyDescent="0.25">
      <c r="A130" s="55"/>
      <c r="B130" s="682" t="s">
        <v>487</v>
      </c>
      <c r="C130" s="682"/>
      <c r="D130" s="682"/>
      <c r="E130" s="683"/>
      <c r="F130" s="278"/>
      <c r="G130" s="294"/>
      <c r="H130" s="295">
        <f>ROUND((H127+H128+H129),2)</f>
        <v>0</v>
      </c>
    </row>
    <row r="131" spans="1:8" ht="40.5" customHeight="1" x14ac:dyDescent="0.25">
      <c r="A131" s="55"/>
      <c r="B131" s="722" t="s">
        <v>540</v>
      </c>
      <c r="C131" s="723"/>
      <c r="D131" s="723"/>
      <c r="E131" s="724"/>
      <c r="F131" s="104"/>
      <c r="G131" s="290"/>
      <c r="H131" s="288">
        <f>ROUND(+H262,2)</f>
        <v>0</v>
      </c>
    </row>
    <row r="132" spans="1:8" ht="19.5" customHeight="1" x14ac:dyDescent="0.25">
      <c r="A132" s="55"/>
      <c r="B132" s="684" t="s">
        <v>258</v>
      </c>
      <c r="C132" s="685"/>
      <c r="D132" s="685"/>
      <c r="E132" s="686"/>
      <c r="F132" s="104"/>
      <c r="G132" s="290"/>
      <c r="H132" s="236">
        <f>ROUND(8%*H130,2)</f>
        <v>0</v>
      </c>
    </row>
    <row r="133" spans="1:8" ht="6.6" customHeight="1" x14ac:dyDescent="0.25">
      <c r="A133" s="55"/>
      <c r="B133" s="76"/>
      <c r="C133" s="76"/>
      <c r="D133" s="76"/>
      <c r="E133" s="76"/>
      <c r="F133" s="22"/>
      <c r="G133" s="76"/>
      <c r="H133" s="87"/>
    </row>
    <row r="134" spans="1:8" ht="13.8" x14ac:dyDescent="0.25">
      <c r="A134" s="55"/>
      <c r="B134" s="291" t="s">
        <v>485</v>
      </c>
      <c r="C134" s="284"/>
      <c r="D134" s="284"/>
      <c r="E134" s="284"/>
      <c r="F134" s="292"/>
      <c r="G134" s="278"/>
      <c r="H134" s="293">
        <f>ROUND(SUM(H130:H132),2)</f>
        <v>0</v>
      </c>
    </row>
    <row r="135" spans="1:8" ht="14.4" thickBot="1" x14ac:dyDescent="0.3">
      <c r="A135" s="55"/>
      <c r="B135" s="76" t="s">
        <v>12</v>
      </c>
      <c r="C135" s="76"/>
      <c r="D135" s="76"/>
      <c r="E135" s="76"/>
      <c r="F135" s="76"/>
      <c r="G135" s="76"/>
      <c r="H135" s="88">
        <f>ROUND(0.18*H134,2)</f>
        <v>0</v>
      </c>
    </row>
    <row r="136" spans="1:8" ht="9" customHeight="1" thickTop="1" x14ac:dyDescent="0.25">
      <c r="A136" s="55"/>
      <c r="B136" s="76"/>
      <c r="C136" s="76"/>
      <c r="D136" s="76"/>
      <c r="E136" s="76"/>
      <c r="F136" s="76"/>
      <c r="G136" s="76"/>
      <c r="H136" s="89"/>
    </row>
    <row r="137" spans="1:8" ht="25.95" customHeight="1" x14ac:dyDescent="0.25">
      <c r="A137" s="351"/>
      <c r="B137" s="669" t="s">
        <v>486</v>
      </c>
      <c r="C137" s="669"/>
      <c r="D137" s="670"/>
      <c r="E137" s="670"/>
      <c r="F137" s="670"/>
      <c r="G137" s="670"/>
      <c r="H137" s="90">
        <f>ROUND(SUM(H134:H135),2)</f>
        <v>0</v>
      </c>
    </row>
    <row r="138" spans="1:8" ht="16.5" customHeight="1" x14ac:dyDescent="0.25">
      <c r="A138" s="55"/>
      <c r="B138" s="75"/>
      <c r="C138" s="75"/>
      <c r="D138" s="56"/>
      <c r="E138" s="56"/>
      <c r="F138" s="56"/>
      <c r="G138" s="56"/>
      <c r="H138" s="22"/>
    </row>
    <row r="139" spans="1:8" ht="48.6" customHeight="1" x14ac:dyDescent="0.25">
      <c r="A139" s="543" t="s">
        <v>493</v>
      </c>
      <c r="B139" s="674" t="s">
        <v>491</v>
      </c>
      <c r="C139" s="675"/>
      <c r="D139" s="675"/>
      <c r="E139" s="675"/>
      <c r="F139" s="675"/>
      <c r="G139" s="675"/>
      <c r="H139" s="676"/>
    </row>
    <row r="140" spans="1:8" ht="19.95" customHeight="1" x14ac:dyDescent="0.25">
      <c r="A140" s="287">
        <f>+A74</f>
        <v>2.1</v>
      </c>
      <c r="B140" s="677" t="str">
        <f>+B74</f>
        <v>SUELDOS Y SALARIOS  DEL PERSONAL PROFESIONAL Y TÉCNICO (Incluye Leyes Sociales)</v>
      </c>
      <c r="C140" s="677"/>
      <c r="D140" s="677"/>
      <c r="E140" s="677"/>
      <c r="F140" s="677"/>
      <c r="G140" s="677"/>
      <c r="H140" s="288">
        <f>+H80</f>
        <v>0</v>
      </c>
    </row>
    <row r="141" spans="1:8" ht="19.95" customHeight="1" x14ac:dyDescent="0.25">
      <c r="A141" s="287">
        <f>+A82</f>
        <v>2.2000000000000002</v>
      </c>
      <c r="B141" s="678" t="str">
        <f>+B82</f>
        <v>ALQUILERES Y SERVICIOS A EMPLEAR DURANTE PRUEBAS Y CONFIGURACION.</v>
      </c>
      <c r="C141" s="678"/>
      <c r="D141" s="678"/>
      <c r="E141" s="678"/>
      <c r="F141" s="678"/>
      <c r="G141" s="678"/>
      <c r="H141" s="289">
        <f>+H94</f>
        <v>0</v>
      </c>
    </row>
    <row r="142" spans="1:8" ht="31.95" customHeight="1" x14ac:dyDescent="0.25">
      <c r="A142" s="637">
        <f>+A96</f>
        <v>2.2999999999999998</v>
      </c>
      <c r="B142" s="671" t="str">
        <f>+B96</f>
        <v>ELABORACIÓN, IMPLEMENTACIÓN Y EJECUCIÓN DEL PLAN DE VIGILANCIA, PREVENCIÓN Y CONTROL DEL COVID-19 PARA PERSONAL DE LA SUPERVISION DE PRUEBAS Y CONFIGURACION</v>
      </c>
      <c r="C142" s="672"/>
      <c r="D142" s="672"/>
      <c r="E142" s="672"/>
      <c r="F142" s="672"/>
      <c r="G142" s="673"/>
      <c r="H142" s="638">
        <f>+H105</f>
        <v>0</v>
      </c>
    </row>
    <row r="143" spans="1:8" ht="19.95" customHeight="1" x14ac:dyDescent="0.25">
      <c r="A143" s="55"/>
      <c r="B143" s="682" t="s">
        <v>488</v>
      </c>
      <c r="C143" s="682"/>
      <c r="D143" s="682"/>
      <c r="E143" s="683"/>
      <c r="F143" s="278"/>
      <c r="G143" s="294"/>
      <c r="H143" s="295">
        <f>ROUND(SUM(H140:H142),2)</f>
        <v>0</v>
      </c>
    </row>
    <row r="144" spans="1:8" ht="27.6" customHeight="1" x14ac:dyDescent="0.25">
      <c r="A144" s="55"/>
      <c r="B144" s="665" t="s">
        <v>540</v>
      </c>
      <c r="C144" s="666"/>
      <c r="D144" s="666"/>
      <c r="E144" s="666"/>
      <c r="F144" s="104"/>
      <c r="G144" s="290"/>
      <c r="H144" s="288">
        <f>+ROUND(H143*11.98/100,2)</f>
        <v>0</v>
      </c>
    </row>
    <row r="145" spans="1:8" ht="16.5" customHeight="1" x14ac:dyDescent="0.25">
      <c r="A145" s="55"/>
      <c r="B145" s="684" t="s">
        <v>258</v>
      </c>
      <c r="C145" s="685"/>
      <c r="D145" s="685"/>
      <c r="E145" s="686"/>
      <c r="F145" s="104"/>
      <c r="G145" s="290"/>
      <c r="H145" s="236">
        <f>ROUND(8%*H143,2)</f>
        <v>0</v>
      </c>
    </row>
    <row r="146" spans="1:8" ht="16.5" customHeight="1" x14ac:dyDescent="0.25">
      <c r="A146" s="55"/>
      <c r="B146" s="229"/>
      <c r="C146" s="229"/>
      <c r="D146" s="229"/>
      <c r="E146" s="229"/>
      <c r="F146" s="22"/>
      <c r="G146" s="229"/>
      <c r="H146" s="87"/>
    </row>
    <row r="147" spans="1:8" ht="16.5" customHeight="1" x14ac:dyDescent="0.25">
      <c r="A147" s="55"/>
      <c r="B147" s="291" t="s">
        <v>485</v>
      </c>
      <c r="C147" s="284"/>
      <c r="D147" s="284"/>
      <c r="E147" s="284"/>
      <c r="F147" s="292"/>
      <c r="G147" s="278"/>
      <c r="H147" s="293">
        <f>ROUND(SUM(H143:H145),2)</f>
        <v>0</v>
      </c>
    </row>
    <row r="148" spans="1:8" ht="16.5" customHeight="1" thickBot="1" x14ac:dyDescent="0.3">
      <c r="A148" s="55"/>
      <c r="B148" s="229" t="s">
        <v>12</v>
      </c>
      <c r="C148" s="229"/>
      <c r="D148" s="229"/>
      <c r="E148" s="229"/>
      <c r="F148" s="229"/>
      <c r="G148" s="229"/>
      <c r="H148" s="88">
        <f>ROUND(0.18*H147,2)</f>
        <v>0</v>
      </c>
    </row>
    <row r="149" spans="1:8" ht="16.5" customHeight="1" thickTop="1" x14ac:dyDescent="0.25">
      <c r="A149" s="55"/>
      <c r="B149" s="229"/>
      <c r="C149" s="229"/>
      <c r="D149" s="229"/>
      <c r="E149" s="229"/>
      <c r="F149" s="229"/>
      <c r="G149" s="229"/>
      <c r="H149" s="89"/>
    </row>
    <row r="150" spans="1:8" ht="16.5" customHeight="1" x14ac:dyDescent="0.25">
      <c r="A150" s="351"/>
      <c r="B150" s="669" t="s">
        <v>486</v>
      </c>
      <c r="C150" s="669"/>
      <c r="D150" s="670"/>
      <c r="E150" s="670"/>
      <c r="F150" s="670"/>
      <c r="G150" s="670"/>
      <c r="H150" s="90">
        <f>ROUND(SUM(H147:H148),2)</f>
        <v>0</v>
      </c>
    </row>
    <row r="151" spans="1:8" ht="16.5" customHeight="1" x14ac:dyDescent="0.25">
      <c r="A151" s="19"/>
      <c r="B151" s="75"/>
      <c r="C151" s="75"/>
      <c r="D151" s="56"/>
      <c r="E151" s="56"/>
      <c r="F151" s="56"/>
      <c r="G151" s="56"/>
      <c r="H151" s="22"/>
    </row>
    <row r="152" spans="1:8" ht="33.6" customHeight="1" x14ac:dyDescent="0.25">
      <c r="A152" s="543" t="s">
        <v>494</v>
      </c>
      <c r="B152" s="674" t="s">
        <v>495</v>
      </c>
      <c r="C152" s="675"/>
      <c r="D152" s="675"/>
      <c r="E152" s="675"/>
      <c r="F152" s="675"/>
      <c r="G152" s="675"/>
      <c r="H152" s="676"/>
    </row>
    <row r="153" spans="1:8" ht="19.95" customHeight="1" x14ac:dyDescent="0.25">
      <c r="A153" s="287">
        <f>+A88</f>
        <v>0</v>
      </c>
      <c r="B153" s="677" t="str">
        <f>+B112</f>
        <v>PERSONAL PROFESIONAL Y TÉCNICO DE SUPERVISIÓN DURANTE LA RECEPCION DE LA OBRA (Incluye Leyes Sociales)</v>
      </c>
      <c r="C153" s="677"/>
      <c r="D153" s="677"/>
      <c r="E153" s="677"/>
      <c r="F153" s="677"/>
      <c r="G153" s="677"/>
      <c r="H153" s="288">
        <f>+H112</f>
        <v>0</v>
      </c>
    </row>
    <row r="154" spans="1:8" ht="19.95" customHeight="1" x14ac:dyDescent="0.25">
      <c r="A154" s="287">
        <f>+A95</f>
        <v>0</v>
      </c>
      <c r="B154" s="678" t="str">
        <f>+B120</f>
        <v>LOCAL OFICINA TECNICA - MOBILIARIO DE CAMPO PARA LA RECEPCION DE LA OBRA</v>
      </c>
      <c r="C154" s="678"/>
      <c r="D154" s="678"/>
      <c r="E154" s="678"/>
      <c r="F154" s="678"/>
      <c r="G154" s="678"/>
      <c r="H154" s="289">
        <f>+H120</f>
        <v>0</v>
      </c>
    </row>
    <row r="155" spans="1:8" ht="19.95" customHeight="1" x14ac:dyDescent="0.25">
      <c r="A155" s="287">
        <f>+A109</f>
        <v>0</v>
      </c>
      <c r="B155" s="679" t="str">
        <f>+B121</f>
        <v>MOVILIDAD Y EQUIPOS DE CAMPO PARA LA RECEPCION DE LA OBRA</v>
      </c>
      <c r="C155" s="680"/>
      <c r="D155" s="680"/>
      <c r="E155" s="680"/>
      <c r="F155" s="680"/>
      <c r="G155" s="681"/>
      <c r="H155" s="289">
        <f>+H121</f>
        <v>0</v>
      </c>
    </row>
    <row r="156" spans="1:8" ht="19.95" customHeight="1" x14ac:dyDescent="0.25">
      <c r="A156" s="637">
        <f>+A110</f>
        <v>3</v>
      </c>
      <c r="B156" s="671" t="str">
        <f>+B122</f>
        <v>ELABORACION, IMPLEMENTACIÓN DEL "PLAN PARA LA VIGILANCIA, PREVENCION Y CONTROL DE COVID-19 EN EL TRABAJO" - RECEPCION DE OBRA</v>
      </c>
      <c r="C156" s="672"/>
      <c r="D156" s="672"/>
      <c r="E156" s="672"/>
      <c r="F156" s="672"/>
      <c r="G156" s="673"/>
      <c r="H156" s="638">
        <f>+H122</f>
        <v>0</v>
      </c>
    </row>
    <row r="157" spans="1:8" ht="19.95" customHeight="1" x14ac:dyDescent="0.25">
      <c r="A157" s="55"/>
      <c r="B157" s="682" t="s">
        <v>488</v>
      </c>
      <c r="C157" s="682"/>
      <c r="D157" s="682"/>
      <c r="E157" s="683"/>
      <c r="F157" s="278"/>
      <c r="G157" s="294"/>
      <c r="H157" s="295">
        <f>ROUND(SUM(H153:H156),2)</f>
        <v>0</v>
      </c>
    </row>
    <row r="158" spans="1:8" ht="39" customHeight="1" x14ac:dyDescent="0.25">
      <c r="A158" s="55"/>
      <c r="B158" s="665" t="s">
        <v>540</v>
      </c>
      <c r="C158" s="666"/>
      <c r="D158" s="666"/>
      <c r="E158" s="666"/>
      <c r="F158" s="104"/>
      <c r="G158" s="290"/>
      <c r="H158" s="288">
        <f>+ROUND(H157*11.98/100,2)</f>
        <v>0</v>
      </c>
    </row>
    <row r="159" spans="1:8" ht="16.5" customHeight="1" x14ac:dyDescent="0.25">
      <c r="A159" s="55"/>
      <c r="B159" s="667" t="s">
        <v>258</v>
      </c>
      <c r="C159" s="668"/>
      <c r="D159" s="668"/>
      <c r="E159" s="668"/>
      <c r="F159" s="104"/>
      <c r="G159" s="290"/>
      <c r="H159" s="236">
        <f>ROUND(8%*H157,2)</f>
        <v>0</v>
      </c>
    </row>
    <row r="160" spans="1:8" ht="16.5" customHeight="1" x14ac:dyDescent="0.25">
      <c r="A160" s="55"/>
      <c r="B160" s="229"/>
      <c r="C160" s="229"/>
      <c r="D160" s="229"/>
      <c r="E160" s="229"/>
      <c r="F160" s="22"/>
      <c r="G160" s="229"/>
      <c r="H160" s="87"/>
    </row>
    <row r="161" spans="1:8" ht="16.5" customHeight="1" x14ac:dyDescent="0.25">
      <c r="A161" s="55"/>
      <c r="B161" s="291" t="s">
        <v>485</v>
      </c>
      <c r="C161" s="284"/>
      <c r="D161" s="284"/>
      <c r="E161" s="284"/>
      <c r="F161" s="292"/>
      <c r="G161" s="278"/>
      <c r="H161" s="293">
        <f>ROUND(SUM(H157:H159),2)</f>
        <v>0</v>
      </c>
    </row>
    <row r="162" spans="1:8" ht="16.5" customHeight="1" thickBot="1" x14ac:dyDescent="0.3">
      <c r="A162" s="55"/>
      <c r="B162" s="229" t="s">
        <v>12</v>
      </c>
      <c r="C162" s="229"/>
      <c r="D162" s="229"/>
      <c r="E162" s="229"/>
      <c r="F162" s="229"/>
      <c r="G162" s="229"/>
      <c r="H162" s="88">
        <f>ROUND(0.18*H161,2)</f>
        <v>0</v>
      </c>
    </row>
    <row r="163" spans="1:8" ht="16.5" customHeight="1" thickTop="1" x14ac:dyDescent="0.25">
      <c r="A163" s="55"/>
      <c r="B163" s="229"/>
      <c r="C163" s="229"/>
      <c r="D163" s="229"/>
      <c r="E163" s="229"/>
      <c r="F163" s="229"/>
      <c r="G163" s="229"/>
      <c r="H163" s="89"/>
    </row>
    <row r="164" spans="1:8" ht="16.5" customHeight="1" x14ac:dyDescent="0.25">
      <c r="A164" s="351"/>
      <c r="B164" s="669" t="s">
        <v>486</v>
      </c>
      <c r="C164" s="669"/>
      <c r="D164" s="670"/>
      <c r="E164" s="670"/>
      <c r="F164" s="670"/>
      <c r="G164" s="670"/>
      <c r="H164" s="90">
        <f>ROUND(SUM(H161:H162),2)</f>
        <v>0</v>
      </c>
    </row>
    <row r="165" spans="1:8" ht="16.5" customHeight="1" x14ac:dyDescent="0.25">
      <c r="A165" s="19"/>
      <c r="B165" s="75"/>
      <c r="C165" s="75"/>
      <c r="D165" s="56"/>
      <c r="E165" s="56"/>
      <c r="F165" s="56"/>
      <c r="G165" s="56"/>
      <c r="H165" s="22"/>
    </row>
    <row r="166" spans="1:8" s="23" customFormat="1" ht="43.5" customHeight="1" x14ac:dyDescent="0.25">
      <c r="A166" s="727" t="s">
        <v>497</v>
      </c>
      <c r="B166" s="728"/>
      <c r="C166" s="728"/>
      <c r="D166" s="728"/>
      <c r="E166" s="728"/>
      <c r="F166" s="728"/>
      <c r="G166" s="728"/>
      <c r="H166" s="729"/>
    </row>
    <row r="167" spans="1:8" ht="37.200000000000003" customHeight="1" x14ac:dyDescent="0.25">
      <c r="A167" s="100"/>
      <c r="B167" s="43" t="s">
        <v>489</v>
      </c>
      <c r="C167" s="67"/>
      <c r="D167" s="72"/>
      <c r="E167" s="72"/>
      <c r="F167" s="72"/>
      <c r="G167" s="72"/>
      <c r="H167" s="237"/>
    </row>
    <row r="168" spans="1:8" ht="25.5" customHeight="1" x14ac:dyDescent="0.25">
      <c r="A168" s="101"/>
      <c r="B168" s="544" t="s">
        <v>207</v>
      </c>
      <c r="C168" s="91" t="s">
        <v>0</v>
      </c>
      <c r="D168" s="545"/>
      <c r="E168" s="534"/>
      <c r="F168" s="535"/>
      <c r="G168" s="546"/>
      <c r="H168" s="547">
        <f>+G169+G170+G171</f>
        <v>0</v>
      </c>
    </row>
    <row r="169" spans="1:8" ht="13.8" hidden="1" x14ac:dyDescent="0.25">
      <c r="A169" s="354"/>
      <c r="B169" s="550" t="str">
        <f>+B22</f>
        <v>SUPERVISOR  DE OBRAS (Ing. Civil o Ing. Sanitario)</v>
      </c>
      <c r="C169" s="548" t="s">
        <v>0</v>
      </c>
      <c r="D169" s="551">
        <v>0.5</v>
      </c>
      <c r="E169" s="552">
        <v>3</v>
      </c>
      <c r="F169" s="553">
        <f>+G22</f>
        <v>0</v>
      </c>
      <c r="G169" s="554">
        <f>ROUND(+F169*E169*D169,2)</f>
        <v>0</v>
      </c>
      <c r="H169" s="547"/>
    </row>
    <row r="170" spans="1:8" ht="33.75" hidden="1" customHeight="1" x14ac:dyDescent="0.25">
      <c r="A170" s="354"/>
      <c r="B170" s="550" t="str">
        <f>+B31</f>
        <v>ESPECIALISTA EN PRESUPUESTOS, PROGRAMACIÓN Y VALORIZACIONES (Ing. Sanitario o Ing Civil o Mecánica de Fluidos)</v>
      </c>
      <c r="C170" s="548" t="s">
        <v>0</v>
      </c>
      <c r="D170" s="555">
        <v>0.5</v>
      </c>
      <c r="E170" s="556">
        <v>3</v>
      </c>
      <c r="F170" s="557">
        <f>+G31</f>
        <v>0</v>
      </c>
      <c r="G170" s="549">
        <f>ROUND(+F170*E170*D170,2)</f>
        <v>0</v>
      </c>
      <c r="H170" s="547"/>
    </row>
    <row r="171" spans="1:8" ht="33.75" hidden="1" customHeight="1" x14ac:dyDescent="0.25">
      <c r="A171" s="354"/>
      <c r="B171" s="550" t="s">
        <v>498</v>
      </c>
      <c r="C171" s="548" t="s">
        <v>0</v>
      </c>
      <c r="D171" s="558">
        <v>2.4E-2</v>
      </c>
      <c r="E171" s="559"/>
      <c r="F171" s="560">
        <f>+G170+G169</f>
        <v>0</v>
      </c>
      <c r="G171" s="561">
        <f>ROUND(+F171*D171,2)</f>
        <v>0</v>
      </c>
      <c r="H171" s="547"/>
    </row>
    <row r="172" spans="1:8" ht="22.95" customHeight="1" x14ac:dyDescent="0.25">
      <c r="A172" s="354"/>
      <c r="B172" s="532" t="s">
        <v>500</v>
      </c>
      <c r="C172" s="533" t="s">
        <v>206</v>
      </c>
      <c r="D172" s="576"/>
      <c r="E172" s="536">
        <v>3</v>
      </c>
      <c r="F172" s="537">
        <v>0.5</v>
      </c>
      <c r="G172" s="538">
        <f>SUM(H46:H49)/12</f>
        <v>0</v>
      </c>
      <c r="H172" s="547">
        <f>+G172*F172*E172</f>
        <v>0</v>
      </c>
    </row>
    <row r="173" spans="1:8" ht="22.95" customHeight="1" x14ac:dyDescent="0.25">
      <c r="A173" s="354"/>
      <c r="B173" s="532" t="s">
        <v>501</v>
      </c>
      <c r="C173" s="533" t="s">
        <v>206</v>
      </c>
      <c r="D173" s="576"/>
      <c r="E173" s="539">
        <v>3</v>
      </c>
      <c r="F173" s="540">
        <v>0.2</v>
      </c>
      <c r="G173" s="541">
        <f>SUM(H52:H53)/12</f>
        <v>0</v>
      </c>
      <c r="H173" s="547">
        <f>+G173*F173*E173</f>
        <v>0</v>
      </c>
    </row>
    <row r="174" spans="1:8" ht="40.5" customHeight="1" x14ac:dyDescent="0.25">
      <c r="A174" s="354"/>
      <c r="B174" s="631" t="s">
        <v>499</v>
      </c>
      <c r="C174" s="632" t="s">
        <v>206</v>
      </c>
      <c r="D174" s="633"/>
      <c r="E174" s="634"/>
      <c r="F174" s="635"/>
      <c r="G174" s="636"/>
      <c r="H174" s="639">
        <f>'Ppto covid LIQUIDACION'!J117</f>
        <v>0</v>
      </c>
    </row>
    <row r="175" spans="1:8" ht="20.25" customHeight="1" x14ac:dyDescent="0.25">
      <c r="A175" s="101"/>
      <c r="B175" s="291" t="s">
        <v>191</v>
      </c>
      <c r="C175" s="284"/>
      <c r="D175" s="278"/>
      <c r="E175" s="278"/>
      <c r="F175" s="332"/>
      <c r="G175" s="278"/>
      <c r="H175" s="285">
        <f>ROUND(+H168+H172+H173+H174,2)</f>
        <v>0</v>
      </c>
    </row>
    <row r="176" spans="1:8" ht="27.75" customHeight="1" x14ac:dyDescent="0.25">
      <c r="A176" s="68"/>
      <c r="B176" s="333" t="s">
        <v>260</v>
      </c>
      <c r="C176" s="340" t="e">
        <f>+H176/H175</f>
        <v>#DIV/0!</v>
      </c>
      <c r="D176" s="334"/>
      <c r="E176" s="281"/>
      <c r="F176" s="286"/>
      <c r="G176" s="335"/>
      <c r="H176" s="288">
        <f>+ROUND(H175*11.98/100,2)</f>
        <v>0</v>
      </c>
    </row>
    <row r="177" spans="1:9" ht="18" customHeight="1" x14ac:dyDescent="0.25">
      <c r="A177" s="69"/>
      <c r="B177" s="336" t="s">
        <v>258</v>
      </c>
      <c r="C177" s="104"/>
      <c r="D177" s="92"/>
      <c r="E177" s="92"/>
      <c r="F177" s="92"/>
      <c r="G177" s="337"/>
      <c r="H177" s="236">
        <f>ROUND(8%*H175,2)</f>
        <v>0</v>
      </c>
    </row>
    <row r="178" spans="1:9" ht="18" customHeight="1" x14ac:dyDescent="0.25">
      <c r="A178" s="69"/>
      <c r="B178" s="291" t="s">
        <v>33</v>
      </c>
      <c r="C178" s="284"/>
      <c r="D178" s="284"/>
      <c r="E178" s="284"/>
      <c r="F178" s="284"/>
      <c r="G178" s="284"/>
      <c r="H178" s="285">
        <f>SUM(H175:H177)</f>
        <v>0</v>
      </c>
    </row>
    <row r="179" spans="1:9" ht="18" customHeight="1" x14ac:dyDescent="0.25">
      <c r="A179" s="69"/>
      <c r="B179" s="76" t="s">
        <v>12</v>
      </c>
      <c r="C179" s="76"/>
      <c r="D179" s="76"/>
      <c r="E179" s="76"/>
      <c r="F179" s="76"/>
      <c r="G179" s="76"/>
      <c r="H179" s="109">
        <f>ROUND(0.18*H178,2)</f>
        <v>0</v>
      </c>
    </row>
    <row r="180" spans="1:9" ht="5.25" customHeight="1" x14ac:dyDescent="0.25">
      <c r="A180" s="69"/>
      <c r="B180" s="76"/>
      <c r="C180" s="76"/>
      <c r="D180" s="76"/>
      <c r="E180" s="76"/>
      <c r="F180" s="76"/>
      <c r="G180" s="76"/>
      <c r="H180" s="109"/>
    </row>
    <row r="181" spans="1:9" ht="24.75" customHeight="1" x14ac:dyDescent="0.25">
      <c r="A181" s="70"/>
      <c r="B181" s="697" t="s">
        <v>34</v>
      </c>
      <c r="C181" s="697"/>
      <c r="D181" s="698"/>
      <c r="E181" s="698"/>
      <c r="F181" s="698"/>
      <c r="G181" s="698"/>
      <c r="H181" s="105">
        <f>SUM(H178:H179)</f>
        <v>0</v>
      </c>
    </row>
    <row r="182" spans="1:9" ht="13.8" x14ac:dyDescent="0.25">
      <c r="A182" s="58"/>
      <c r="B182" s="77"/>
      <c r="C182" s="77"/>
      <c r="D182" s="77"/>
      <c r="E182" s="77"/>
      <c r="F182" s="77"/>
      <c r="G182" s="77"/>
      <c r="H182" s="77"/>
    </row>
    <row r="183" spans="1:9" ht="13.8" x14ac:dyDescent="0.25">
      <c r="A183" s="58"/>
      <c r="B183" s="77"/>
      <c r="C183" s="77"/>
      <c r="D183" s="77"/>
      <c r="E183" s="77"/>
      <c r="F183" s="77"/>
      <c r="G183" s="77"/>
      <c r="H183" s="77"/>
    </row>
    <row r="184" spans="1:9" ht="13.8" x14ac:dyDescent="0.25">
      <c r="A184" s="58"/>
      <c r="B184" s="77"/>
      <c r="C184" s="77"/>
      <c r="D184" s="77"/>
      <c r="E184" s="77"/>
      <c r="F184" s="77"/>
      <c r="G184" s="77"/>
      <c r="H184" s="77"/>
    </row>
    <row r="185" spans="1:9" ht="56.25" customHeight="1" x14ac:dyDescent="0.25">
      <c r="A185" s="737" t="s">
        <v>539</v>
      </c>
      <c r="B185" s="738"/>
      <c r="C185" s="738"/>
      <c r="D185" s="738"/>
      <c r="E185" s="738"/>
      <c r="F185" s="738"/>
      <c r="G185" s="738"/>
      <c r="H185" s="739"/>
    </row>
    <row r="186" spans="1:9" ht="29.25" customHeight="1" x14ac:dyDescent="0.25">
      <c r="A186" s="699" t="s">
        <v>140</v>
      </c>
      <c r="B186" s="699"/>
      <c r="C186" s="699"/>
      <c r="D186" s="699"/>
      <c r="E186" s="699"/>
      <c r="F186" s="699"/>
      <c r="G186" s="699"/>
      <c r="H186" s="699"/>
    </row>
    <row r="187" spans="1:9" ht="13.8" x14ac:dyDescent="0.25">
      <c r="A187" s="58"/>
      <c r="B187" s="77"/>
      <c r="C187" s="77"/>
      <c r="D187" s="77"/>
      <c r="E187" s="77"/>
      <c r="F187" s="77"/>
      <c r="G187" s="77"/>
      <c r="H187" s="77"/>
    </row>
    <row r="188" spans="1:9" ht="26.25" customHeight="1" x14ac:dyDescent="0.25">
      <c r="A188" s="58"/>
      <c r="B188" s="291" t="s">
        <v>141</v>
      </c>
      <c r="C188" s="338"/>
      <c r="D188" s="709"/>
      <c r="E188" s="732"/>
      <c r="F188" s="709"/>
      <c r="G188" s="710"/>
      <c r="H188" s="339"/>
    </row>
    <row r="189" spans="1:9" ht="28.95" customHeight="1" x14ac:dyDescent="0.25">
      <c r="A189" s="58"/>
      <c r="B189" s="226" t="s">
        <v>35</v>
      </c>
      <c r="C189" s="224" t="s">
        <v>142</v>
      </c>
      <c r="D189" s="711" t="s">
        <v>143</v>
      </c>
      <c r="E189" s="712"/>
      <c r="F189" s="711" t="s">
        <v>138</v>
      </c>
      <c r="G189" s="715"/>
      <c r="H189" s="66" t="s">
        <v>93</v>
      </c>
    </row>
    <row r="190" spans="1:9" ht="43.5" customHeight="1" x14ac:dyDescent="0.25">
      <c r="A190" s="63"/>
      <c r="B190" s="341" t="s">
        <v>502</v>
      </c>
      <c r="C190" s="342">
        <v>300</v>
      </c>
      <c r="D190" s="707" t="s">
        <v>139</v>
      </c>
      <c r="E190" s="708"/>
      <c r="F190" s="716">
        <f>ROUND(+H137/C190,5)</f>
        <v>0</v>
      </c>
      <c r="G190" s="717"/>
      <c r="H190" s="343">
        <f>+C190*F190</f>
        <v>0</v>
      </c>
      <c r="I190" s="223">
        <f>+H137</f>
        <v>0</v>
      </c>
    </row>
    <row r="191" spans="1:9" ht="43.5" customHeight="1" x14ac:dyDescent="0.25">
      <c r="A191" s="63"/>
      <c r="B191" s="341" t="s">
        <v>503</v>
      </c>
      <c r="C191" s="342">
        <v>60</v>
      </c>
      <c r="D191" s="707" t="s">
        <v>139</v>
      </c>
      <c r="E191" s="708"/>
      <c r="F191" s="716">
        <f>ROUND(+H150/C191,4)</f>
        <v>0</v>
      </c>
      <c r="G191" s="717"/>
      <c r="H191" s="343">
        <f t="shared" ref="H191:H192" si="6">+C191*F191</f>
        <v>0</v>
      </c>
      <c r="I191" s="223">
        <f>+H150</f>
        <v>0</v>
      </c>
    </row>
    <row r="192" spans="1:9" ht="43.5" customHeight="1" x14ac:dyDescent="0.25">
      <c r="A192" s="63"/>
      <c r="B192" s="341" t="s">
        <v>506</v>
      </c>
      <c r="C192" s="342">
        <v>30</v>
      </c>
      <c r="D192" s="707" t="s">
        <v>139</v>
      </c>
      <c r="E192" s="708"/>
      <c r="F192" s="716">
        <f>ROUND(+H164/C192,4)</f>
        <v>0</v>
      </c>
      <c r="G192" s="717"/>
      <c r="H192" s="343">
        <f t="shared" si="6"/>
        <v>0</v>
      </c>
      <c r="I192" s="223">
        <f>+H164</f>
        <v>0</v>
      </c>
    </row>
    <row r="193" spans="1:13" ht="12" customHeight="1" x14ac:dyDescent="0.25">
      <c r="A193" s="58"/>
      <c r="B193" s="56"/>
      <c r="C193" s="56"/>
      <c r="D193" s="56"/>
      <c r="E193" s="56"/>
      <c r="F193" s="64"/>
      <c r="G193" s="65"/>
      <c r="H193" s="71"/>
    </row>
    <row r="194" spans="1:13" ht="26.25" customHeight="1" x14ac:dyDescent="0.25">
      <c r="A194" s="58"/>
      <c r="B194" s="730" t="s">
        <v>37</v>
      </c>
      <c r="C194" s="731"/>
      <c r="D194" s="700"/>
      <c r="E194" s="700"/>
      <c r="F194" s="700"/>
      <c r="G194" s="701"/>
      <c r="H194" s="91" t="s">
        <v>36</v>
      </c>
    </row>
    <row r="195" spans="1:13" ht="35.4" customHeight="1" x14ac:dyDescent="0.25">
      <c r="A195" s="63"/>
      <c r="B195" s="341" t="s">
        <v>507</v>
      </c>
      <c r="C195" s="344"/>
      <c r="D195" s="702"/>
      <c r="E195" s="702"/>
      <c r="F195" s="345"/>
      <c r="G195" s="346"/>
      <c r="H195" s="343">
        <f>+H181</f>
        <v>0</v>
      </c>
      <c r="I195" s="223">
        <f>+H181</f>
        <v>0</v>
      </c>
    </row>
    <row r="196" spans="1:13" ht="13.8" x14ac:dyDescent="0.25">
      <c r="A196" s="58"/>
      <c r="B196" s="77"/>
      <c r="C196" s="77"/>
      <c r="D196" s="77"/>
      <c r="E196" s="77"/>
      <c r="F196" s="77"/>
      <c r="G196" s="77"/>
      <c r="H196" s="93"/>
    </row>
    <row r="197" spans="1:13" ht="36" customHeight="1" x14ac:dyDescent="0.25">
      <c r="A197" s="63"/>
      <c r="B197" s="694" t="s">
        <v>74</v>
      </c>
      <c r="C197" s="695"/>
      <c r="D197" s="695"/>
      <c r="E197" s="695"/>
      <c r="F197" s="695"/>
      <c r="G197" s="696"/>
      <c r="H197" s="347">
        <f>ROUND(+H190+H195+H191+H192,2)</f>
        <v>0</v>
      </c>
    </row>
    <row r="198" spans="1:13" ht="13.8" x14ac:dyDescent="0.25">
      <c r="A198" s="58"/>
      <c r="B198" s="77"/>
      <c r="C198" s="77"/>
      <c r="D198" s="77"/>
      <c r="E198" s="77"/>
      <c r="F198" s="77"/>
      <c r="G198" s="77"/>
      <c r="H198" s="77"/>
    </row>
    <row r="199" spans="1:13" ht="19.5" customHeight="1" x14ac:dyDescent="0.25">
      <c r="A199" s="58"/>
      <c r="B199" s="77" t="s">
        <v>30</v>
      </c>
      <c r="C199" s="77"/>
      <c r="D199" s="77"/>
      <c r="E199" s="77"/>
      <c r="F199" s="77"/>
      <c r="G199" s="77"/>
      <c r="H199" s="77"/>
    </row>
    <row r="200" spans="1:13" ht="21.75" customHeight="1" x14ac:dyDescent="0.25">
      <c r="A200" s="19"/>
      <c r="B200" s="316"/>
      <c r="C200" s="316"/>
      <c r="D200" s="229"/>
      <c r="E200" s="229"/>
      <c r="F200" s="229"/>
      <c r="G200" s="229"/>
      <c r="H200" s="229"/>
    </row>
    <row r="201" spans="1:13" ht="12.75" customHeight="1" x14ac:dyDescent="0.25">
      <c r="A201" s="706"/>
      <c r="B201" s="706"/>
      <c r="C201" s="706"/>
      <c r="D201" s="706"/>
      <c r="E201" s="706"/>
      <c r="F201" s="706"/>
      <c r="G201" s="706"/>
      <c r="H201" s="706"/>
    </row>
    <row r="202" spans="1:13" ht="25.2" customHeight="1" x14ac:dyDescent="0.25">
      <c r="A202" s="703" t="s">
        <v>261</v>
      </c>
      <c r="B202" s="704"/>
      <c r="C202" s="704"/>
      <c r="D202" s="704"/>
      <c r="E202" s="704"/>
      <c r="F202" s="704"/>
      <c r="G202" s="704"/>
      <c r="H202" s="705"/>
    </row>
    <row r="203" spans="1:13" ht="27.75" customHeight="1" x14ac:dyDescent="0.25">
      <c r="A203" s="58"/>
      <c r="B203" s="59"/>
      <c r="C203" s="305" t="s">
        <v>40</v>
      </c>
      <c r="D203" s="306" t="s">
        <v>41</v>
      </c>
      <c r="E203" s="307" t="s">
        <v>25</v>
      </c>
      <c r="F203" s="308" t="s">
        <v>26</v>
      </c>
      <c r="G203" s="308" t="s">
        <v>75</v>
      </c>
      <c r="H203" s="307" t="s">
        <v>28</v>
      </c>
      <c r="I203" s="6"/>
      <c r="J203" s="6"/>
      <c r="K203" s="6"/>
      <c r="L203" s="6"/>
      <c r="M203" s="6"/>
    </row>
    <row r="204" spans="1:13" ht="27.75" customHeight="1" x14ac:dyDescent="0.25">
      <c r="A204" s="297">
        <v>1</v>
      </c>
      <c r="B204" s="298" t="s">
        <v>68</v>
      </c>
      <c r="C204" s="298"/>
      <c r="D204" s="278"/>
      <c r="E204" s="348" t="e">
        <f>+(H204/(H130))</f>
        <v>#DIV/0!</v>
      </c>
      <c r="F204" s="278"/>
      <c r="G204" s="278"/>
      <c r="H204" s="285">
        <f>ROUND(+H217,2)</f>
        <v>0</v>
      </c>
      <c r="I204" s="6"/>
      <c r="J204" s="6"/>
      <c r="K204" s="6"/>
      <c r="L204" s="6"/>
      <c r="M204" s="6"/>
    </row>
    <row r="205" spans="1:13" ht="27.75" customHeight="1" x14ac:dyDescent="0.25">
      <c r="A205" s="74">
        <v>1.1000000000000001</v>
      </c>
      <c r="B205" s="78" t="s">
        <v>22</v>
      </c>
      <c r="C205" s="78"/>
      <c r="D205" s="78"/>
      <c r="E205" s="78"/>
      <c r="F205" s="78"/>
      <c r="G205" s="78"/>
      <c r="H205" s="77"/>
      <c r="I205" s="6"/>
      <c r="J205" s="6"/>
      <c r="K205" s="6"/>
      <c r="L205" s="6"/>
      <c r="M205" s="6"/>
    </row>
    <row r="206" spans="1:13" ht="27.75" customHeight="1" x14ac:dyDescent="0.25">
      <c r="A206" s="17"/>
      <c r="B206" s="328" t="s">
        <v>63</v>
      </c>
      <c r="C206" s="328" t="s">
        <v>8</v>
      </c>
      <c r="D206" s="234">
        <v>1</v>
      </c>
      <c r="E206" s="225"/>
      <c r="F206" s="92"/>
      <c r="G206" s="651"/>
      <c r="H206" s="236">
        <f>+D206*G206</f>
        <v>0</v>
      </c>
      <c r="I206" s="6"/>
      <c r="J206" s="6"/>
      <c r="K206" s="6"/>
      <c r="L206" s="6"/>
      <c r="M206" s="6"/>
    </row>
    <row r="207" spans="1:13" ht="24.75" customHeight="1" x14ac:dyDescent="0.25">
      <c r="A207" s="17"/>
      <c r="B207" s="329" t="s">
        <v>64</v>
      </c>
      <c r="C207" s="328" t="s">
        <v>8</v>
      </c>
      <c r="D207" s="234">
        <v>1</v>
      </c>
      <c r="E207" s="225"/>
      <c r="F207" s="92"/>
      <c r="G207" s="651"/>
      <c r="H207" s="236">
        <f>+D207*G207</f>
        <v>0</v>
      </c>
      <c r="I207" s="6"/>
      <c r="J207" s="6"/>
      <c r="K207" s="6"/>
      <c r="L207" s="6"/>
      <c r="M207" s="6"/>
    </row>
    <row r="208" spans="1:13" ht="22.5" customHeight="1" x14ac:dyDescent="0.25">
      <c r="A208" s="17"/>
      <c r="B208" s="329" t="s">
        <v>65</v>
      </c>
      <c r="C208" s="328" t="s">
        <v>8</v>
      </c>
      <c r="D208" s="234">
        <v>1</v>
      </c>
      <c r="E208" s="225"/>
      <c r="F208" s="92"/>
      <c r="G208" s="651"/>
      <c r="H208" s="236">
        <f>+D208*G208</f>
        <v>0</v>
      </c>
      <c r="I208" s="6"/>
      <c r="J208" s="6"/>
      <c r="K208" s="6"/>
      <c r="L208" s="6"/>
      <c r="M208" s="6"/>
    </row>
    <row r="209" spans="1:13" ht="21" customHeight="1" x14ac:dyDescent="0.25">
      <c r="A209" s="16"/>
      <c r="B209" s="95" t="s">
        <v>1</v>
      </c>
      <c r="C209" s="106"/>
      <c r="D209" s="108"/>
      <c r="E209" s="77"/>
      <c r="F209" s="230"/>
      <c r="G209" s="652"/>
      <c r="H209" s="77"/>
      <c r="I209" s="6"/>
      <c r="J209" s="6"/>
      <c r="K209" s="6"/>
      <c r="L209" s="6"/>
      <c r="M209" s="6"/>
    </row>
    <row r="210" spans="1:13" ht="27.75" customHeight="1" x14ac:dyDescent="0.25">
      <c r="A210" s="17"/>
      <c r="B210" s="328" t="s">
        <v>66</v>
      </c>
      <c r="C210" s="328" t="s">
        <v>8</v>
      </c>
      <c r="D210" s="234">
        <v>1</v>
      </c>
      <c r="E210" s="225"/>
      <c r="F210" s="92"/>
      <c r="G210" s="651"/>
      <c r="H210" s="236">
        <f>+D210*G210</f>
        <v>0</v>
      </c>
      <c r="I210" s="6"/>
      <c r="J210" s="6"/>
      <c r="K210" s="6"/>
      <c r="L210" s="6"/>
      <c r="M210" s="6"/>
    </row>
    <row r="211" spans="1:13" ht="27.75" customHeight="1" x14ac:dyDescent="0.25">
      <c r="A211" s="17"/>
      <c r="B211" s="330" t="s">
        <v>81</v>
      </c>
      <c r="C211" s="328" t="s">
        <v>8</v>
      </c>
      <c r="D211" s="234">
        <v>1</v>
      </c>
      <c r="E211" s="225"/>
      <c r="F211" s="92"/>
      <c r="G211" s="651"/>
      <c r="H211" s="236">
        <f>+D211*G211</f>
        <v>0</v>
      </c>
      <c r="I211" s="6"/>
      <c r="J211" s="10">
        <f>+H130</f>
        <v>0</v>
      </c>
      <c r="K211" s="6"/>
      <c r="L211" s="6"/>
      <c r="M211" s="6"/>
    </row>
    <row r="212" spans="1:13" ht="22.5" customHeight="1" x14ac:dyDescent="0.25">
      <c r="A212" s="16"/>
      <c r="B212" s="95" t="s">
        <v>2</v>
      </c>
      <c r="C212" s="106"/>
      <c r="D212" s="108"/>
      <c r="E212" s="77"/>
      <c r="F212" s="230"/>
      <c r="G212" s="653"/>
      <c r="H212" s="77"/>
      <c r="I212" s="6"/>
      <c r="J212" s="6"/>
      <c r="K212" s="6"/>
      <c r="L212" s="6"/>
      <c r="M212" s="6"/>
    </row>
    <row r="213" spans="1:13" ht="20.25" customHeight="1" x14ac:dyDescent="0.25">
      <c r="A213" s="17"/>
      <c r="B213" s="331" t="s">
        <v>80</v>
      </c>
      <c r="C213" s="328" t="s">
        <v>8</v>
      </c>
      <c r="D213" s="234">
        <v>1</v>
      </c>
      <c r="E213" s="225"/>
      <c r="F213" s="92"/>
      <c r="G213" s="651"/>
      <c r="H213" s="236">
        <f>+D213*G213</f>
        <v>0</v>
      </c>
      <c r="I213" s="6"/>
      <c r="J213" s="6"/>
      <c r="K213" s="6"/>
      <c r="L213" s="6"/>
      <c r="M213" s="6"/>
    </row>
    <row r="214" spans="1:13" ht="19.5" customHeight="1" x14ac:dyDescent="0.25">
      <c r="A214" s="74"/>
      <c r="B214" s="95" t="s">
        <v>10</v>
      </c>
      <c r="C214" s="106"/>
      <c r="D214" s="108"/>
      <c r="E214" s="77"/>
      <c r="F214" s="230"/>
      <c r="G214" s="652"/>
      <c r="H214" s="77"/>
      <c r="I214" s="6"/>
      <c r="J214" s="6"/>
      <c r="K214" s="6"/>
      <c r="L214" s="6"/>
      <c r="M214" s="6"/>
    </row>
    <row r="215" spans="1:13" ht="13.8" x14ac:dyDescent="0.25">
      <c r="A215" s="17"/>
      <c r="B215" s="331" t="s">
        <v>83</v>
      </c>
      <c r="C215" s="328" t="s">
        <v>8</v>
      </c>
      <c r="D215" s="234">
        <v>1</v>
      </c>
      <c r="E215" s="225"/>
      <c r="F215" s="92"/>
      <c r="G215" s="651"/>
      <c r="H215" s="236">
        <f>+D215*G215</f>
        <v>0</v>
      </c>
      <c r="I215" s="6"/>
      <c r="J215" s="6"/>
      <c r="K215" s="6"/>
      <c r="L215" s="6"/>
      <c r="M215" s="6"/>
    </row>
    <row r="216" spans="1:13" ht="13.8" x14ac:dyDescent="0.25">
      <c r="A216" s="17"/>
      <c r="B216" s="17"/>
      <c r="C216" s="17"/>
      <c r="D216" s="108"/>
      <c r="E216" s="77"/>
      <c r="F216" s="77"/>
      <c r="G216" s="77"/>
      <c r="H216" s="13"/>
      <c r="I216" s="6"/>
      <c r="J216" s="6"/>
      <c r="K216" s="6"/>
      <c r="L216" s="6"/>
      <c r="M216" s="6"/>
    </row>
    <row r="217" spans="1:13" ht="27.75" customHeight="1" x14ac:dyDescent="0.25">
      <c r="A217" s="17"/>
      <c r="B217" s="297" t="s">
        <v>11</v>
      </c>
      <c r="C217" s="298"/>
      <c r="D217" s="278"/>
      <c r="E217" s="278"/>
      <c r="F217" s="278"/>
      <c r="G217" s="278"/>
      <c r="H217" s="299">
        <f>SUM(H206:H215)</f>
        <v>0</v>
      </c>
      <c r="I217" s="6"/>
      <c r="J217" s="6">
        <f>1343234.48*1.64/100</f>
        <v>22029.045471999998</v>
      </c>
      <c r="K217" s="10">
        <f>+H217-J217</f>
        <v>-22029.045471999998</v>
      </c>
      <c r="L217" s="6"/>
      <c r="M217" s="6"/>
    </row>
    <row r="218" spans="1:13" ht="18" customHeight="1" x14ac:dyDescent="0.25">
      <c r="A218" s="17"/>
      <c r="B218" s="74"/>
      <c r="C218" s="74"/>
      <c r="D218" s="77"/>
      <c r="E218" s="77"/>
      <c r="F218" s="77"/>
      <c r="G218" s="77"/>
      <c r="H218" s="13"/>
      <c r="I218" s="6"/>
      <c r="J218" s="6"/>
      <c r="K218" s="6"/>
      <c r="L218" s="6"/>
      <c r="M218" s="6"/>
    </row>
    <row r="219" spans="1:13" ht="30" customHeight="1" x14ac:dyDescent="0.25">
      <c r="A219" s="77"/>
      <c r="B219" s="77"/>
      <c r="C219" s="305" t="s">
        <v>40</v>
      </c>
      <c r="D219" s="306" t="s">
        <v>41</v>
      </c>
      <c r="E219" s="307" t="s">
        <v>25</v>
      </c>
      <c r="F219" s="308" t="s">
        <v>26</v>
      </c>
      <c r="G219" s="308" t="s">
        <v>27</v>
      </c>
      <c r="H219" s="307" t="s">
        <v>28</v>
      </c>
      <c r="I219" s="6"/>
      <c r="J219" s="6"/>
      <c r="K219" s="6"/>
      <c r="L219" s="6"/>
      <c r="M219" s="6"/>
    </row>
    <row r="220" spans="1:13" ht="25.5" customHeight="1" x14ac:dyDescent="0.25">
      <c r="A220" s="297">
        <v>2</v>
      </c>
      <c r="B220" s="301" t="s">
        <v>67</v>
      </c>
      <c r="C220" s="302"/>
      <c r="D220" s="303"/>
      <c r="E220" s="348" t="e">
        <f>+H220/(H130)</f>
        <v>#DIV/0!</v>
      </c>
      <c r="F220" s="304"/>
      <c r="G220" s="304"/>
      <c r="H220" s="285">
        <f>ROUND(+H227+H247+H256+H260,2)</f>
        <v>0</v>
      </c>
      <c r="I220" s="6"/>
      <c r="J220" s="6">
        <f>1343234.48*10.34/100</f>
        <v>138890.445232</v>
      </c>
      <c r="K220" s="10">
        <f>+H220-J220</f>
        <v>-138890.445232</v>
      </c>
      <c r="L220" s="6"/>
      <c r="M220" s="6"/>
    </row>
    <row r="221" spans="1:13" s="23" customFormat="1" ht="10.5" customHeight="1" x14ac:dyDescent="0.25">
      <c r="A221" s="314"/>
      <c r="B221" s="315"/>
      <c r="C221" s="316"/>
      <c r="D221" s="317"/>
      <c r="E221" s="318"/>
      <c r="F221" s="319"/>
      <c r="G221" s="319"/>
      <c r="H221" s="22"/>
      <c r="I221" s="5"/>
      <c r="J221" s="5"/>
      <c r="K221" s="5"/>
      <c r="L221" s="5"/>
      <c r="M221" s="5"/>
    </row>
    <row r="222" spans="1:13" ht="18" customHeight="1" x14ac:dyDescent="0.25">
      <c r="A222" s="320">
        <v>2.1</v>
      </c>
      <c r="B222" s="725" t="s">
        <v>262</v>
      </c>
      <c r="C222" s="725"/>
      <c r="D222" s="725"/>
      <c r="E222" s="725"/>
      <c r="F222" s="725"/>
      <c r="G222" s="725"/>
      <c r="H222" s="726"/>
      <c r="I222" s="6"/>
      <c r="J222" s="6"/>
      <c r="K222" s="6"/>
      <c r="L222" s="6"/>
      <c r="M222" s="6"/>
    </row>
    <row r="223" spans="1:13" ht="18" customHeight="1" x14ac:dyDescent="0.25">
      <c r="A223" s="60"/>
      <c r="B223" s="231" t="s">
        <v>54</v>
      </c>
      <c r="C223" s="231" t="s">
        <v>43</v>
      </c>
      <c r="D223" s="234">
        <v>1</v>
      </c>
      <c r="E223" s="233">
        <v>0.2</v>
      </c>
      <c r="F223" s="234">
        <v>10</v>
      </c>
      <c r="G223" s="654"/>
      <c r="H223" s="236">
        <f>ROUND(D223*F223*G223,2)*E223</f>
        <v>0</v>
      </c>
      <c r="I223" s="6"/>
      <c r="J223" s="6"/>
      <c r="K223" s="6"/>
      <c r="L223" s="6"/>
      <c r="M223" s="6"/>
    </row>
    <row r="224" spans="1:13" ht="18" customHeight="1" x14ac:dyDescent="0.25">
      <c r="A224" s="60"/>
      <c r="B224" s="272" t="s">
        <v>55</v>
      </c>
      <c r="C224" s="231" t="s">
        <v>43</v>
      </c>
      <c r="D224" s="234">
        <v>1</v>
      </c>
      <c r="E224" s="233">
        <v>0.2</v>
      </c>
      <c r="F224" s="234">
        <f>$F$223</f>
        <v>10</v>
      </c>
      <c r="G224" s="654"/>
      <c r="H224" s="236">
        <f>ROUND(D224*F224*G224,2)*E224</f>
        <v>0</v>
      </c>
      <c r="I224" s="6"/>
      <c r="J224" s="6"/>
      <c r="K224" s="6"/>
      <c r="L224" s="6"/>
      <c r="M224" s="6"/>
    </row>
    <row r="225" spans="1:13" ht="18" customHeight="1" x14ac:dyDescent="0.25">
      <c r="A225" s="60"/>
      <c r="B225" s="272" t="s">
        <v>56</v>
      </c>
      <c r="C225" s="231" t="s">
        <v>43</v>
      </c>
      <c r="D225" s="234">
        <v>1</v>
      </c>
      <c r="E225" s="233">
        <v>0.2</v>
      </c>
      <c r="F225" s="234">
        <f t="shared" ref="F225" si="7">$F$223</f>
        <v>10</v>
      </c>
      <c r="G225" s="654"/>
      <c r="H225" s="236">
        <f>ROUND(D225*F225*G225,2)*E225</f>
        <v>0</v>
      </c>
      <c r="I225" s="6"/>
      <c r="J225" s="6"/>
      <c r="K225" s="6"/>
      <c r="L225" s="6"/>
      <c r="M225" s="6"/>
    </row>
    <row r="226" spans="1:13" ht="18" customHeight="1" x14ac:dyDescent="0.25">
      <c r="A226" s="60"/>
      <c r="B226" s="272"/>
      <c r="C226" s="231"/>
      <c r="D226" s="321"/>
      <c r="E226" s="322"/>
      <c r="F226" s="234"/>
      <c r="G226" s="236"/>
      <c r="H226" s="236"/>
      <c r="I226" s="6"/>
      <c r="J226" s="6"/>
      <c r="K226" s="6"/>
      <c r="L226" s="6"/>
      <c r="M226" s="6"/>
    </row>
    <row r="227" spans="1:13" ht="21.75" customHeight="1" x14ac:dyDescent="0.25">
      <c r="A227" s="60"/>
      <c r="B227" s="297" t="s">
        <v>69</v>
      </c>
      <c r="C227" s="298"/>
      <c r="D227" s="278"/>
      <c r="E227" s="278"/>
      <c r="F227" s="278"/>
      <c r="G227" s="278"/>
      <c r="H227" s="285">
        <f>ROUND(SUM(H223:H226),2)</f>
        <v>0</v>
      </c>
      <c r="I227" s="6"/>
      <c r="J227" s="6"/>
      <c r="K227" s="6"/>
      <c r="L227" s="6"/>
      <c r="M227" s="6"/>
    </row>
    <row r="228" spans="1:13" ht="11.25" customHeight="1" x14ac:dyDescent="0.25">
      <c r="A228" s="60"/>
      <c r="B228" s="59"/>
      <c r="C228" s="59"/>
      <c r="D228" s="77"/>
      <c r="E228" s="77"/>
      <c r="F228" s="77"/>
      <c r="G228" s="77"/>
      <c r="H228" s="77"/>
      <c r="I228" s="6"/>
      <c r="J228" s="6"/>
      <c r="K228" s="6"/>
      <c r="L228" s="6"/>
      <c r="M228" s="6"/>
    </row>
    <row r="229" spans="1:13" ht="37.5" customHeight="1" x14ac:dyDescent="0.25">
      <c r="A229" s="320">
        <v>2.2000000000000002</v>
      </c>
      <c r="B229" s="713" t="s">
        <v>87</v>
      </c>
      <c r="C229" s="713"/>
      <c r="D229" s="713"/>
      <c r="E229" s="713"/>
      <c r="F229" s="713"/>
      <c r="G229" s="713"/>
      <c r="H229" s="714"/>
      <c r="I229" s="6"/>
      <c r="J229" s="6"/>
      <c r="K229" s="6"/>
      <c r="L229" s="6"/>
      <c r="M229" s="6"/>
    </row>
    <row r="230" spans="1:13" ht="18" customHeight="1" x14ac:dyDescent="0.25">
      <c r="A230" s="60"/>
      <c r="B230" s="22" t="s">
        <v>259</v>
      </c>
      <c r="C230" s="22"/>
      <c r="D230" s="19"/>
      <c r="E230" s="19"/>
      <c r="F230" s="61"/>
      <c r="G230" s="62"/>
      <c r="H230" s="76"/>
      <c r="I230" s="6"/>
      <c r="J230" s="6"/>
      <c r="K230" s="6"/>
      <c r="L230" s="6"/>
      <c r="M230" s="6"/>
    </row>
    <row r="231" spans="1:13" ht="27.6" x14ac:dyDescent="0.25">
      <c r="A231" s="60"/>
      <c r="B231" s="270" t="s">
        <v>57</v>
      </c>
      <c r="C231" s="235" t="s">
        <v>7</v>
      </c>
      <c r="D231" s="234">
        <v>1</v>
      </c>
      <c r="E231" s="233">
        <v>0.2</v>
      </c>
      <c r="F231" s="234">
        <f t="shared" ref="F231:F245" si="8">$F$223</f>
        <v>10</v>
      </c>
      <c r="G231" s="654"/>
      <c r="H231" s="236">
        <f t="shared" ref="H231:H237" si="9">ROUND(D231*F231*G231,2)*E231</f>
        <v>0</v>
      </c>
      <c r="I231" s="6"/>
      <c r="J231" s="6"/>
      <c r="K231" s="6"/>
      <c r="L231" s="6"/>
      <c r="M231" s="6"/>
    </row>
    <row r="232" spans="1:13" ht="18" customHeight="1" x14ac:dyDescent="0.25">
      <c r="A232" s="60"/>
      <c r="B232" s="272" t="s">
        <v>58</v>
      </c>
      <c r="C232" s="235" t="s">
        <v>7</v>
      </c>
      <c r="D232" s="234">
        <v>1</v>
      </c>
      <c r="E232" s="233">
        <v>0.2</v>
      </c>
      <c r="F232" s="234">
        <f t="shared" si="8"/>
        <v>10</v>
      </c>
      <c r="G232" s="654"/>
      <c r="H232" s="236">
        <f t="shared" si="9"/>
        <v>0</v>
      </c>
      <c r="I232" s="6"/>
      <c r="J232" s="6"/>
      <c r="K232" s="6"/>
      <c r="L232" s="6"/>
      <c r="M232" s="6"/>
    </row>
    <row r="233" spans="1:13" ht="18" customHeight="1" x14ac:dyDescent="0.25">
      <c r="A233" s="60"/>
      <c r="B233" s="272" t="s">
        <v>59</v>
      </c>
      <c r="C233" s="235" t="s">
        <v>7</v>
      </c>
      <c r="D233" s="234">
        <v>1</v>
      </c>
      <c r="E233" s="233">
        <v>0.2</v>
      </c>
      <c r="F233" s="234">
        <f t="shared" si="8"/>
        <v>10</v>
      </c>
      <c r="G233" s="654"/>
      <c r="H233" s="236">
        <f t="shared" si="9"/>
        <v>0</v>
      </c>
      <c r="I233" s="6"/>
      <c r="J233" s="6"/>
      <c r="K233" s="6"/>
      <c r="L233" s="6"/>
      <c r="M233" s="6"/>
    </row>
    <row r="234" spans="1:13" ht="19.95" customHeight="1" x14ac:dyDescent="0.25">
      <c r="A234" s="60"/>
      <c r="B234" s="270" t="s">
        <v>60</v>
      </c>
      <c r="C234" s="235" t="s">
        <v>7</v>
      </c>
      <c r="D234" s="234">
        <v>1</v>
      </c>
      <c r="E234" s="233">
        <v>0.2</v>
      </c>
      <c r="F234" s="234">
        <f t="shared" si="8"/>
        <v>10</v>
      </c>
      <c r="G234" s="654"/>
      <c r="H234" s="236">
        <f t="shared" si="9"/>
        <v>0</v>
      </c>
      <c r="I234" s="6"/>
      <c r="J234" s="6"/>
      <c r="K234" s="6"/>
      <c r="L234" s="6"/>
      <c r="M234" s="6"/>
    </row>
    <row r="235" spans="1:13" ht="18" customHeight="1" x14ac:dyDescent="0.25">
      <c r="A235" s="60"/>
      <c r="B235" s="272" t="s">
        <v>51</v>
      </c>
      <c r="C235" s="235" t="s">
        <v>7</v>
      </c>
      <c r="D235" s="234">
        <v>3</v>
      </c>
      <c r="E235" s="233">
        <v>0.2</v>
      </c>
      <c r="F235" s="234">
        <f t="shared" si="8"/>
        <v>10</v>
      </c>
      <c r="G235" s="654"/>
      <c r="H235" s="236">
        <f t="shared" si="9"/>
        <v>0</v>
      </c>
      <c r="I235" s="6"/>
      <c r="J235" s="6"/>
      <c r="K235" s="6"/>
      <c r="L235" s="6"/>
      <c r="M235" s="6"/>
    </row>
    <row r="236" spans="1:13" ht="18" customHeight="1" x14ac:dyDescent="0.25">
      <c r="A236" s="60"/>
      <c r="B236" s="272" t="s">
        <v>86</v>
      </c>
      <c r="C236" s="235" t="s">
        <v>7</v>
      </c>
      <c r="D236" s="234">
        <v>1</v>
      </c>
      <c r="E236" s="233">
        <v>0.2</v>
      </c>
      <c r="F236" s="234">
        <f t="shared" si="8"/>
        <v>10</v>
      </c>
      <c r="G236" s="654"/>
      <c r="H236" s="236">
        <f t="shared" si="9"/>
        <v>0</v>
      </c>
      <c r="I236" s="6"/>
      <c r="J236" s="6"/>
      <c r="K236" s="6"/>
      <c r="L236" s="6"/>
      <c r="M236" s="6"/>
    </row>
    <row r="237" spans="1:13" ht="18" customHeight="1" x14ac:dyDescent="0.25">
      <c r="A237" s="60"/>
      <c r="B237" s="272" t="s">
        <v>61</v>
      </c>
      <c r="C237" s="235" t="s">
        <v>7</v>
      </c>
      <c r="D237" s="234">
        <v>1</v>
      </c>
      <c r="E237" s="233">
        <v>0.2</v>
      </c>
      <c r="F237" s="234">
        <f t="shared" si="8"/>
        <v>10</v>
      </c>
      <c r="G237" s="654"/>
      <c r="H237" s="236">
        <f t="shared" si="9"/>
        <v>0</v>
      </c>
      <c r="I237" s="6"/>
      <c r="J237" s="6"/>
      <c r="K237" s="6"/>
      <c r="L237" s="6"/>
      <c r="M237" s="6"/>
    </row>
    <row r="238" spans="1:13" ht="27.6" customHeight="1" x14ac:dyDescent="0.25">
      <c r="A238" s="48"/>
      <c r="B238" s="94" t="s">
        <v>537</v>
      </c>
      <c r="C238" s="15"/>
      <c r="D238" s="20"/>
      <c r="E238" s="20"/>
      <c r="F238" s="21"/>
      <c r="G238" s="13"/>
      <c r="H238" s="13"/>
    </row>
    <row r="239" spans="1:13" ht="17.25" customHeight="1" x14ac:dyDescent="0.25">
      <c r="A239" s="48"/>
      <c r="B239" s="323" t="s">
        <v>4</v>
      </c>
      <c r="C239" s="235" t="s">
        <v>6</v>
      </c>
      <c r="D239" s="234">
        <v>2</v>
      </c>
      <c r="E239" s="233">
        <v>1</v>
      </c>
      <c r="F239" s="234">
        <f t="shared" si="8"/>
        <v>10</v>
      </c>
      <c r="G239" s="654"/>
      <c r="H239" s="236">
        <f t="shared" ref="H239:H245" si="10">ROUND(D239*F239*G239,2)*E239</f>
        <v>0</v>
      </c>
    </row>
    <row r="240" spans="1:13" ht="15.75" customHeight="1" x14ac:dyDescent="0.25">
      <c r="A240" s="48"/>
      <c r="B240" s="323" t="s">
        <v>78</v>
      </c>
      <c r="C240" s="235" t="s">
        <v>8</v>
      </c>
      <c r="D240" s="234">
        <v>1</v>
      </c>
      <c r="E240" s="233">
        <v>1</v>
      </c>
      <c r="F240" s="234">
        <f t="shared" si="8"/>
        <v>10</v>
      </c>
      <c r="G240" s="654"/>
      <c r="H240" s="236">
        <f t="shared" si="10"/>
        <v>0</v>
      </c>
    </row>
    <row r="241" spans="1:8" ht="15.75" customHeight="1" x14ac:dyDescent="0.25">
      <c r="A241" s="48"/>
      <c r="B241" s="323" t="s">
        <v>15</v>
      </c>
      <c r="C241" s="235" t="s">
        <v>16</v>
      </c>
      <c r="D241" s="234">
        <v>4</v>
      </c>
      <c r="E241" s="233">
        <v>1</v>
      </c>
      <c r="F241" s="234">
        <f t="shared" si="8"/>
        <v>10</v>
      </c>
      <c r="G241" s="654"/>
      <c r="H241" s="236">
        <f t="shared" si="10"/>
        <v>0</v>
      </c>
    </row>
    <row r="242" spans="1:8" ht="15.75" customHeight="1" x14ac:dyDescent="0.25">
      <c r="A242" s="48"/>
      <c r="B242" s="323" t="s">
        <v>5</v>
      </c>
      <c r="C242" s="235" t="s">
        <v>0</v>
      </c>
      <c r="D242" s="234">
        <v>2</v>
      </c>
      <c r="E242" s="233">
        <v>1</v>
      </c>
      <c r="F242" s="234">
        <f t="shared" si="8"/>
        <v>10</v>
      </c>
      <c r="G242" s="654"/>
      <c r="H242" s="236">
        <f t="shared" si="10"/>
        <v>0</v>
      </c>
    </row>
    <row r="243" spans="1:8" ht="17.25" customHeight="1" x14ac:dyDescent="0.25">
      <c r="A243" s="48"/>
      <c r="B243" s="323" t="s">
        <v>79</v>
      </c>
      <c r="C243" s="235" t="s">
        <v>7</v>
      </c>
      <c r="D243" s="234">
        <v>1</v>
      </c>
      <c r="E243" s="233">
        <v>1</v>
      </c>
      <c r="F243" s="234">
        <f t="shared" si="8"/>
        <v>10</v>
      </c>
      <c r="G243" s="654"/>
      <c r="H243" s="236">
        <f t="shared" si="10"/>
        <v>0</v>
      </c>
    </row>
    <row r="244" spans="1:8" ht="17.399999999999999" customHeight="1" x14ac:dyDescent="0.25">
      <c r="A244" s="48"/>
      <c r="B244" s="323" t="s">
        <v>17</v>
      </c>
      <c r="C244" s="235" t="s">
        <v>18</v>
      </c>
      <c r="D244" s="275">
        <v>1</v>
      </c>
      <c r="E244" s="233">
        <v>1</v>
      </c>
      <c r="F244" s="234">
        <v>1</v>
      </c>
      <c r="G244" s="654"/>
      <c r="H244" s="236">
        <f t="shared" si="10"/>
        <v>0</v>
      </c>
    </row>
    <row r="245" spans="1:8" ht="28.5" customHeight="1" x14ac:dyDescent="0.25">
      <c r="A245" s="48"/>
      <c r="B245" s="323" t="s">
        <v>82</v>
      </c>
      <c r="C245" s="235" t="s">
        <v>0</v>
      </c>
      <c r="D245" s="234">
        <v>1</v>
      </c>
      <c r="E245" s="233">
        <v>1</v>
      </c>
      <c r="F245" s="234">
        <f t="shared" si="8"/>
        <v>10</v>
      </c>
      <c r="G245" s="654"/>
      <c r="H245" s="236">
        <f t="shared" si="10"/>
        <v>0</v>
      </c>
    </row>
    <row r="246" spans="1:8" ht="28.5" customHeight="1" x14ac:dyDescent="0.25">
      <c r="A246" s="48"/>
      <c r="B246" s="323" t="s">
        <v>538</v>
      </c>
      <c r="C246" s="235" t="s">
        <v>0</v>
      </c>
      <c r="D246" s="234">
        <v>1</v>
      </c>
      <c r="E246" s="233"/>
      <c r="F246" s="234"/>
      <c r="G246" s="654"/>
      <c r="H246" s="236">
        <f>+G246</f>
        <v>0</v>
      </c>
    </row>
    <row r="247" spans="1:8" ht="21.75" customHeight="1" x14ac:dyDescent="0.25">
      <c r="A247" s="60"/>
      <c r="B247" s="297" t="s">
        <v>70</v>
      </c>
      <c r="C247" s="298"/>
      <c r="D247" s="278"/>
      <c r="E247" s="278"/>
      <c r="F247" s="278"/>
      <c r="G247" s="278"/>
      <c r="H247" s="285">
        <f>ROUND(SUM(H231:H246),2)</f>
        <v>0</v>
      </c>
    </row>
    <row r="248" spans="1:8" ht="14.25" customHeight="1" x14ac:dyDescent="0.25">
      <c r="A248" s="3"/>
    </row>
    <row r="249" spans="1:8" ht="25.5" customHeight="1" x14ac:dyDescent="0.25">
      <c r="A249" s="320">
        <v>2.2999999999999998</v>
      </c>
      <c r="B249" s="692" t="s">
        <v>53</v>
      </c>
      <c r="C249" s="693"/>
      <c r="D249" s="693"/>
      <c r="E249" s="693"/>
      <c r="F249" s="693"/>
      <c r="G249" s="693"/>
      <c r="H249" s="693"/>
    </row>
    <row r="250" spans="1:8" ht="27" customHeight="1" x14ac:dyDescent="0.25">
      <c r="A250" s="48"/>
      <c r="B250" s="323" t="s">
        <v>19</v>
      </c>
      <c r="C250" s="235" t="s">
        <v>8</v>
      </c>
      <c r="D250" s="275">
        <v>1</v>
      </c>
      <c r="E250" s="235"/>
      <c r="F250" s="324"/>
      <c r="G250" s="654"/>
      <c r="H250" s="236">
        <f t="shared" ref="H250:H255" si="11">+D250*G250</f>
        <v>0</v>
      </c>
    </row>
    <row r="251" spans="1:8" ht="24.6" customHeight="1" x14ac:dyDescent="0.25">
      <c r="A251" s="48"/>
      <c r="B251" s="323" t="s">
        <v>29</v>
      </c>
      <c r="C251" s="235" t="s">
        <v>8</v>
      </c>
      <c r="D251" s="275">
        <v>1</v>
      </c>
      <c r="E251" s="235"/>
      <c r="F251" s="324"/>
      <c r="G251" s="654"/>
      <c r="H251" s="236">
        <f t="shared" si="11"/>
        <v>0</v>
      </c>
    </row>
    <row r="252" spans="1:8" ht="28.5" customHeight="1" x14ac:dyDescent="0.25">
      <c r="A252" s="48"/>
      <c r="B252" s="323" t="s">
        <v>92</v>
      </c>
      <c r="C252" s="235" t="s">
        <v>8</v>
      </c>
      <c r="D252" s="275">
        <v>1</v>
      </c>
      <c r="E252" s="235"/>
      <c r="F252" s="275"/>
      <c r="G252" s="654"/>
      <c r="H252" s="236">
        <f t="shared" si="11"/>
        <v>0</v>
      </c>
    </row>
    <row r="253" spans="1:8" ht="29.25" customHeight="1" x14ac:dyDescent="0.25">
      <c r="A253" s="48"/>
      <c r="B253" s="323" t="s">
        <v>144</v>
      </c>
      <c r="C253" s="235" t="s">
        <v>8</v>
      </c>
      <c r="D253" s="275">
        <v>1</v>
      </c>
      <c r="E253" s="235"/>
      <c r="F253" s="275"/>
      <c r="G253" s="654"/>
      <c r="H253" s="236">
        <f t="shared" si="11"/>
        <v>0</v>
      </c>
    </row>
    <row r="254" spans="1:8" ht="19.5" customHeight="1" x14ac:dyDescent="0.25">
      <c r="A254" s="48"/>
      <c r="B254" s="323" t="s">
        <v>20</v>
      </c>
      <c r="C254" s="235" t="s">
        <v>8</v>
      </c>
      <c r="D254" s="275">
        <v>1</v>
      </c>
      <c r="E254" s="325"/>
      <c r="F254" s="326"/>
      <c r="G254" s="236"/>
      <c r="H254" s="654">
        <f t="shared" si="11"/>
        <v>0</v>
      </c>
    </row>
    <row r="255" spans="1:8" ht="25.5" customHeight="1" x14ac:dyDescent="0.25">
      <c r="A255" s="48"/>
      <c r="B255" s="323" t="s">
        <v>208</v>
      </c>
      <c r="C255" s="235" t="s">
        <v>8</v>
      </c>
      <c r="D255" s="275">
        <v>1</v>
      </c>
      <c r="E255" s="232"/>
      <c r="F255" s="327"/>
      <c r="G255" s="654"/>
      <c r="H255" s="236">
        <f t="shared" si="11"/>
        <v>0</v>
      </c>
    </row>
    <row r="256" spans="1:8" ht="18" customHeight="1" x14ac:dyDescent="0.25">
      <c r="A256" s="48"/>
      <c r="B256" s="297" t="s">
        <v>71</v>
      </c>
      <c r="C256" s="298"/>
      <c r="D256" s="278"/>
      <c r="E256" s="278"/>
      <c r="F256" s="278"/>
      <c r="G256" s="278"/>
      <c r="H256" s="285">
        <f>SUM(H250:H255)</f>
        <v>0</v>
      </c>
    </row>
    <row r="257" spans="1:8" ht="10.5" customHeight="1" x14ac:dyDescent="0.25">
      <c r="A257" s="48"/>
      <c r="B257" s="57"/>
      <c r="C257" s="59"/>
      <c r="D257" s="77"/>
      <c r="E257" s="77"/>
      <c r="F257" s="77"/>
      <c r="G257" s="77"/>
      <c r="H257" s="77"/>
    </row>
    <row r="258" spans="1:8" ht="25.5" customHeight="1" x14ac:dyDescent="0.25">
      <c r="A258" s="320">
        <v>2.4</v>
      </c>
      <c r="B258" s="692" t="s">
        <v>21</v>
      </c>
      <c r="C258" s="693"/>
      <c r="D258" s="693"/>
      <c r="E258" s="693"/>
      <c r="F258" s="693"/>
      <c r="G258" s="693"/>
      <c r="H258" s="693"/>
    </row>
    <row r="259" spans="1:8" ht="38.25" customHeight="1" x14ac:dyDescent="0.25">
      <c r="A259" s="48"/>
      <c r="B259" s="270" t="s">
        <v>62</v>
      </c>
      <c r="C259" s="235" t="s">
        <v>8</v>
      </c>
      <c r="D259" s="275">
        <v>1</v>
      </c>
      <c r="E259" s="296"/>
      <c r="F259" s="234"/>
      <c r="G259" s="654"/>
      <c r="H259" s="236">
        <f>+D259*G259</f>
        <v>0</v>
      </c>
    </row>
    <row r="260" spans="1:8" ht="18" customHeight="1" x14ac:dyDescent="0.25">
      <c r="A260" s="48"/>
      <c r="B260" s="297" t="s">
        <v>72</v>
      </c>
      <c r="C260" s="298"/>
      <c r="D260" s="278"/>
      <c r="E260" s="278"/>
      <c r="F260" s="278"/>
      <c r="G260" s="278"/>
      <c r="H260" s="285">
        <f>SUM(H259)</f>
        <v>0</v>
      </c>
    </row>
    <row r="261" spans="1:8" ht="18" customHeight="1" x14ac:dyDescent="0.25">
      <c r="A261" s="77"/>
      <c r="B261" s="77"/>
      <c r="C261" s="77"/>
      <c r="D261" s="77"/>
      <c r="E261" s="77"/>
      <c r="F261" s="77"/>
      <c r="G261" s="77"/>
      <c r="H261" s="77"/>
    </row>
    <row r="262" spans="1:8" ht="21" customHeight="1" x14ac:dyDescent="0.25">
      <c r="A262" s="58"/>
      <c r="B262" s="309" t="s">
        <v>31</v>
      </c>
      <c r="C262" s="301"/>
      <c r="D262" s="284"/>
      <c r="E262" s="348" t="e">
        <f>+E220+E204</f>
        <v>#DIV/0!</v>
      </c>
      <c r="F262" s="284"/>
      <c r="G262" s="284"/>
      <c r="H262" s="285">
        <f>+H204+H220</f>
        <v>0</v>
      </c>
    </row>
    <row r="263" spans="1:8" s="9" customFormat="1" ht="6" customHeight="1" x14ac:dyDescent="0.25">
      <c r="A263" s="19"/>
      <c r="B263" s="311"/>
      <c r="C263" s="311"/>
      <c r="D263" s="282"/>
      <c r="E263" s="312"/>
      <c r="F263" s="282"/>
      <c r="G263" s="282"/>
      <c r="H263" s="313"/>
    </row>
    <row r="264" spans="1:8" ht="24.75" customHeight="1" x14ac:dyDescent="0.25">
      <c r="A264" s="58"/>
      <c r="B264" s="309" t="s">
        <v>32</v>
      </c>
      <c r="C264" s="310"/>
      <c r="D264" s="278"/>
      <c r="E264" s="300" t="e">
        <f>+H264/H130</f>
        <v>#DIV/0!</v>
      </c>
      <c r="F264" s="278"/>
      <c r="G264" s="278"/>
      <c r="H264" s="285">
        <f>ROUND(8%*H130,2)</f>
        <v>0</v>
      </c>
    </row>
    <row r="265" spans="1:8" ht="13.8" x14ac:dyDescent="0.25">
      <c r="A265" s="58"/>
      <c r="B265" s="77"/>
      <c r="C265" s="77"/>
      <c r="D265" s="77"/>
      <c r="E265" s="77"/>
      <c r="F265" s="77"/>
      <c r="G265" s="77"/>
      <c r="H265" s="77"/>
    </row>
    <row r="301" spans="1:8" ht="13.8" x14ac:dyDescent="0.25">
      <c r="A301" s="63"/>
      <c r="B301" s="2"/>
      <c r="C301" s="2"/>
      <c r="D301" s="2"/>
      <c r="E301" s="2"/>
      <c r="F301" s="2"/>
      <c r="G301" s="2"/>
      <c r="H301" s="2"/>
    </row>
    <row r="302" spans="1:8" ht="13.8" x14ac:dyDescent="0.25">
      <c r="A302" s="63"/>
      <c r="B302" s="2"/>
      <c r="C302" s="2"/>
      <c r="D302" s="2"/>
      <c r="E302" s="2"/>
      <c r="F302" s="2"/>
      <c r="G302" s="2"/>
      <c r="H302" s="2"/>
    </row>
    <row r="303" spans="1:8" ht="13.8" x14ac:dyDescent="0.25">
      <c r="B303" s="107"/>
    </row>
    <row r="304" spans="1:8" ht="13.8" x14ac:dyDescent="0.25">
      <c r="B304" s="107"/>
    </row>
    <row r="305" spans="2:8" ht="13.8" x14ac:dyDescent="0.25">
      <c r="B305" s="107"/>
    </row>
    <row r="306" spans="2:8" x14ac:dyDescent="0.25">
      <c r="B306" s="239"/>
      <c r="C306" s="239"/>
      <c r="D306" s="239"/>
      <c r="E306" s="239"/>
      <c r="F306" s="239"/>
      <c r="G306" s="239"/>
      <c r="H306" s="239"/>
    </row>
    <row r="307" spans="2:8" x14ac:dyDescent="0.25">
      <c r="B307" s="239"/>
      <c r="C307" s="239"/>
      <c r="D307" s="239"/>
      <c r="E307" s="239"/>
      <c r="F307" s="239"/>
      <c r="G307" s="239"/>
      <c r="H307" s="239"/>
    </row>
    <row r="308" spans="2:8" x14ac:dyDescent="0.25">
      <c r="B308" s="239"/>
      <c r="C308" s="239"/>
      <c r="D308" s="239"/>
      <c r="E308" s="239"/>
      <c r="F308" s="239"/>
      <c r="G308" s="239"/>
      <c r="H308" s="239"/>
    </row>
    <row r="309" spans="2:8" x14ac:dyDescent="0.25">
      <c r="B309" s="240" t="s">
        <v>209</v>
      </c>
      <c r="C309" s="241"/>
      <c r="D309" s="241"/>
      <c r="E309" s="241"/>
      <c r="F309" s="241"/>
      <c r="G309" s="241"/>
      <c r="H309" s="239"/>
    </row>
    <row r="310" spans="2:8" x14ac:dyDescent="0.25">
      <c r="B310" s="242" t="s">
        <v>210</v>
      </c>
      <c r="C310" s="241"/>
      <c r="D310" s="241"/>
      <c r="E310" s="241"/>
      <c r="F310" s="241"/>
      <c r="G310" s="241"/>
      <c r="H310" s="239"/>
    </row>
    <row r="311" spans="2:8" x14ac:dyDescent="0.25">
      <c r="B311" s="242" t="s">
        <v>211</v>
      </c>
      <c r="C311" s="242">
        <v>4</v>
      </c>
      <c r="D311" s="243">
        <v>478.5</v>
      </c>
      <c r="E311" s="243">
        <f>+C311*D311</f>
        <v>1914</v>
      </c>
      <c r="F311" s="241"/>
      <c r="G311" s="241"/>
      <c r="H311" s="239"/>
    </row>
    <row r="312" spans="2:8" x14ac:dyDescent="0.25">
      <c r="B312" s="242" t="s">
        <v>212</v>
      </c>
      <c r="C312" s="242">
        <v>4</v>
      </c>
      <c r="D312" s="243">
        <v>913.5</v>
      </c>
      <c r="E312" s="243">
        <f t="shared" ref="E312:E321" si="12">+C312*D312</f>
        <v>3654</v>
      </c>
      <c r="F312" s="241"/>
      <c r="G312" s="241"/>
      <c r="H312" s="239"/>
    </row>
    <row r="313" spans="2:8" x14ac:dyDescent="0.25">
      <c r="B313" s="242" t="s">
        <v>213</v>
      </c>
      <c r="C313" s="242">
        <v>1</v>
      </c>
      <c r="D313" s="243">
        <v>2276.5</v>
      </c>
      <c r="E313" s="243">
        <f t="shared" si="12"/>
        <v>2276.5</v>
      </c>
      <c r="F313" s="241"/>
      <c r="G313" s="241"/>
      <c r="H313" s="239"/>
    </row>
    <row r="314" spans="2:8" x14ac:dyDescent="0.25">
      <c r="B314" s="242" t="s">
        <v>214</v>
      </c>
      <c r="C314" s="242">
        <v>1</v>
      </c>
      <c r="D314" s="243">
        <v>14848</v>
      </c>
      <c r="E314" s="243">
        <f t="shared" si="12"/>
        <v>14848</v>
      </c>
      <c r="F314" s="241"/>
      <c r="G314" s="241">
        <f>4450+1000</f>
        <v>5450</v>
      </c>
      <c r="H314" s="239"/>
    </row>
    <row r="315" spans="2:8" x14ac:dyDescent="0.25">
      <c r="B315" s="242" t="s">
        <v>215</v>
      </c>
      <c r="C315" s="242">
        <v>0</v>
      </c>
      <c r="D315" s="243">
        <v>51300</v>
      </c>
      <c r="E315" s="243">
        <f t="shared" si="12"/>
        <v>0</v>
      </c>
      <c r="F315" s="241"/>
      <c r="G315" s="241">
        <v>18000</v>
      </c>
      <c r="H315" s="239"/>
    </row>
    <row r="316" spans="2:8" x14ac:dyDescent="0.25">
      <c r="B316" s="242" t="s">
        <v>216</v>
      </c>
      <c r="C316" s="242">
        <v>0</v>
      </c>
      <c r="D316" s="243">
        <v>51300</v>
      </c>
      <c r="E316" s="243">
        <f t="shared" si="12"/>
        <v>0</v>
      </c>
      <c r="F316" s="241"/>
      <c r="G316" s="241">
        <v>18000</v>
      </c>
      <c r="H316" s="239"/>
    </row>
    <row r="317" spans="2:8" x14ac:dyDescent="0.25">
      <c r="B317" s="242" t="s">
        <v>217</v>
      </c>
      <c r="C317" s="242">
        <v>1</v>
      </c>
      <c r="D317" s="243">
        <v>6510</v>
      </c>
      <c r="E317" s="243">
        <f t="shared" si="12"/>
        <v>6510</v>
      </c>
      <c r="F317" s="241"/>
      <c r="G317" s="241"/>
      <c r="H317" s="239"/>
    </row>
    <row r="318" spans="2:8" x14ac:dyDescent="0.25">
      <c r="B318" s="242" t="s">
        <v>218</v>
      </c>
      <c r="C318" s="242">
        <v>0</v>
      </c>
      <c r="D318" s="243">
        <v>26613.3</v>
      </c>
      <c r="E318" s="243">
        <f t="shared" si="12"/>
        <v>0</v>
      </c>
      <c r="F318" s="241"/>
      <c r="G318" s="241"/>
      <c r="H318" s="239"/>
    </row>
    <row r="319" spans="2:8" x14ac:dyDescent="0.25">
      <c r="B319" s="242" t="s">
        <v>219</v>
      </c>
      <c r="C319" s="242">
        <v>1</v>
      </c>
      <c r="D319" s="243">
        <v>3600</v>
      </c>
      <c r="E319" s="243">
        <f t="shared" si="12"/>
        <v>3600</v>
      </c>
      <c r="F319" s="241"/>
      <c r="G319" s="241"/>
      <c r="H319" s="239"/>
    </row>
    <row r="320" spans="2:8" x14ac:dyDescent="0.25">
      <c r="B320" s="244" t="s">
        <v>220</v>
      </c>
      <c r="C320" s="245">
        <v>1</v>
      </c>
      <c r="D320" s="246">
        <v>4000</v>
      </c>
      <c r="E320" s="246">
        <f t="shared" si="12"/>
        <v>4000</v>
      </c>
      <c r="F320" s="241"/>
      <c r="G320" s="241"/>
      <c r="H320" s="239"/>
    </row>
    <row r="321" spans="2:8" x14ac:dyDescent="0.25">
      <c r="B321" s="242" t="s">
        <v>221</v>
      </c>
      <c r="C321" s="242">
        <v>1</v>
      </c>
      <c r="D321" s="243">
        <v>19024</v>
      </c>
      <c r="E321" s="243">
        <f t="shared" si="12"/>
        <v>19024</v>
      </c>
      <c r="F321" s="241"/>
      <c r="G321" s="241"/>
      <c r="H321" s="239"/>
    </row>
    <row r="322" spans="2:8" x14ac:dyDescent="0.25">
      <c r="B322" s="242" t="s">
        <v>180</v>
      </c>
      <c r="C322" s="242"/>
      <c r="D322" s="242"/>
      <c r="E322" s="247">
        <f>SUM(E311:E321)</f>
        <v>55826.5</v>
      </c>
      <c r="F322" s="241"/>
      <c r="G322" s="241"/>
      <c r="H322" s="239"/>
    </row>
    <row r="323" spans="2:8" x14ac:dyDescent="0.25">
      <c r="B323" s="242" t="s">
        <v>222</v>
      </c>
      <c r="C323" s="241"/>
      <c r="D323" s="248">
        <v>0.5</v>
      </c>
      <c r="E323" s="243">
        <f>+D323*E322</f>
        <v>27913.25</v>
      </c>
      <c r="F323" s="241"/>
      <c r="G323" s="241"/>
      <c r="H323" s="239"/>
    </row>
    <row r="324" spans="2:8" x14ac:dyDescent="0.25">
      <c r="B324" s="242" t="s">
        <v>223</v>
      </c>
      <c r="C324" s="241"/>
      <c r="D324" s="249">
        <v>0.3</v>
      </c>
      <c r="E324" s="250">
        <f>+E323*D324</f>
        <v>8373.9750000000004</v>
      </c>
      <c r="F324" s="251" t="s">
        <v>224</v>
      </c>
      <c r="G324" s="241"/>
      <c r="H324" s="239"/>
    </row>
    <row r="325" spans="2:8" x14ac:dyDescent="0.25">
      <c r="B325" s="242"/>
      <c r="C325" s="242"/>
      <c r="D325" s="249"/>
      <c r="E325" s="243"/>
      <c r="F325" s="241"/>
      <c r="G325" s="241"/>
      <c r="H325" s="239"/>
    </row>
    <row r="326" spans="2:8" x14ac:dyDescent="0.25">
      <c r="B326" s="242" t="s">
        <v>225</v>
      </c>
      <c r="C326" s="241"/>
      <c r="D326" s="241"/>
      <c r="E326" s="241"/>
      <c r="F326" s="241"/>
      <c r="G326" s="241" t="s">
        <v>226</v>
      </c>
      <c r="H326" s="239"/>
    </row>
    <row r="327" spans="2:8" x14ac:dyDescent="0.25">
      <c r="B327" s="242" t="s">
        <v>227</v>
      </c>
      <c r="C327" s="242">
        <v>1</v>
      </c>
      <c r="D327" s="243">
        <v>600</v>
      </c>
      <c r="E327" s="243">
        <f>+C327*D327</f>
        <v>600</v>
      </c>
      <c r="F327" s="241"/>
      <c r="G327" s="242">
        <v>5</v>
      </c>
      <c r="H327" s="239"/>
    </row>
    <row r="328" spans="2:8" x14ac:dyDescent="0.25">
      <c r="B328" s="242" t="s">
        <v>228</v>
      </c>
      <c r="C328" s="242">
        <v>1</v>
      </c>
      <c r="D328" s="243">
        <v>1000</v>
      </c>
      <c r="E328" s="243">
        <f>+C328*D328</f>
        <v>1000</v>
      </c>
      <c r="F328" s="241"/>
      <c r="G328" s="242">
        <v>5</v>
      </c>
      <c r="H328" s="239"/>
    </row>
    <row r="329" spans="2:8" x14ac:dyDescent="0.25">
      <c r="B329" s="242" t="s">
        <v>229</v>
      </c>
      <c r="C329" s="242">
        <v>0</v>
      </c>
      <c r="D329" s="243">
        <v>2000</v>
      </c>
      <c r="E329" s="243">
        <f>+C329*D329</f>
        <v>0</v>
      </c>
      <c r="F329" s="241"/>
      <c r="G329" s="242">
        <v>5</v>
      </c>
      <c r="H329" s="239"/>
    </row>
    <row r="330" spans="2:8" x14ac:dyDescent="0.25">
      <c r="B330" s="242" t="s">
        <v>230</v>
      </c>
      <c r="C330" s="242">
        <v>0</v>
      </c>
      <c r="D330" s="243">
        <v>5000</v>
      </c>
      <c r="E330" s="243">
        <f>+C330*D330</f>
        <v>0</v>
      </c>
      <c r="F330" s="241"/>
      <c r="G330" s="242">
        <v>5</v>
      </c>
      <c r="H330" s="239"/>
    </row>
    <row r="331" spans="2:8" x14ac:dyDescent="0.25">
      <c r="B331" s="242" t="s">
        <v>231</v>
      </c>
      <c r="C331" s="242">
        <v>0</v>
      </c>
      <c r="D331" s="243">
        <v>3000</v>
      </c>
      <c r="E331" s="243">
        <f>+C331*D331</f>
        <v>0</v>
      </c>
      <c r="F331" s="241"/>
      <c r="G331" s="242">
        <v>1</v>
      </c>
      <c r="H331" s="239"/>
    </row>
    <row r="332" spans="2:8" x14ac:dyDescent="0.25">
      <c r="B332" s="241"/>
      <c r="C332" s="241"/>
      <c r="D332" s="241"/>
      <c r="E332" s="243">
        <f>SUM(E327:E331)</f>
        <v>1600</v>
      </c>
      <c r="F332" s="241"/>
      <c r="G332" s="241"/>
      <c r="H332" s="239"/>
    </row>
    <row r="333" spans="2:8" x14ac:dyDescent="0.25">
      <c r="B333" s="242" t="s">
        <v>180</v>
      </c>
      <c r="C333" s="241"/>
      <c r="D333" s="241"/>
      <c r="E333" s="247">
        <f>+E325+E332</f>
        <v>1600</v>
      </c>
      <c r="F333" s="241"/>
      <c r="G333" s="241"/>
      <c r="H333" s="239"/>
    </row>
    <row r="334" spans="2:8" x14ac:dyDescent="0.25">
      <c r="B334" s="242" t="s">
        <v>232</v>
      </c>
      <c r="C334" s="241"/>
      <c r="D334" s="248">
        <v>0.5</v>
      </c>
      <c r="E334" s="250">
        <f>+D334*E333</f>
        <v>800</v>
      </c>
      <c r="F334" s="251" t="s">
        <v>233</v>
      </c>
      <c r="G334" s="241"/>
      <c r="H334" s="239"/>
    </row>
    <row r="335" spans="2:8" x14ac:dyDescent="0.25">
      <c r="B335" s="241"/>
      <c r="C335" s="241"/>
      <c r="D335" s="241"/>
      <c r="E335" s="241"/>
      <c r="F335" s="241"/>
      <c r="G335" s="241"/>
      <c r="H335" s="239"/>
    </row>
    <row r="336" spans="2:8" x14ac:dyDescent="0.25">
      <c r="B336" s="242" t="s">
        <v>234</v>
      </c>
      <c r="C336" s="241"/>
      <c r="D336" s="241"/>
      <c r="E336" s="243">
        <f>+E324+E334</f>
        <v>9173.9750000000004</v>
      </c>
      <c r="F336" s="251" t="s">
        <v>235</v>
      </c>
      <c r="G336" s="241"/>
      <c r="H336" s="239"/>
    </row>
    <row r="337" spans="2:8" x14ac:dyDescent="0.25">
      <c r="B337" s="242" t="s">
        <v>236</v>
      </c>
      <c r="C337" s="241"/>
      <c r="D337" s="243">
        <v>12</v>
      </c>
      <c r="E337" s="243">
        <f>+E336/D337</f>
        <v>764.4979166666667</v>
      </c>
      <c r="F337" s="241"/>
      <c r="G337" s="241"/>
      <c r="H337" s="239"/>
    </row>
    <row r="338" spans="2:8" x14ac:dyDescent="0.25">
      <c r="B338" s="242" t="s">
        <v>256</v>
      </c>
      <c r="C338" s="241"/>
      <c r="D338" s="243">
        <v>10</v>
      </c>
      <c r="E338" s="243">
        <f>+E337*D338</f>
        <v>7644.979166666667</v>
      </c>
      <c r="F338" s="252" t="e">
        <f>+E338/#REF!</f>
        <v>#REF!</v>
      </c>
      <c r="G338" s="242" t="s">
        <v>237</v>
      </c>
      <c r="H338" s="239"/>
    </row>
    <row r="339" spans="2:8" x14ac:dyDescent="0.25">
      <c r="B339" s="242"/>
      <c r="C339" s="253"/>
      <c r="D339" s="254"/>
      <c r="E339" s="261"/>
      <c r="F339" s="262"/>
      <c r="G339" s="239"/>
      <c r="H339" s="239" t="s">
        <v>238</v>
      </c>
    </row>
    <row r="340" spans="2:8" x14ac:dyDescent="0.25">
      <c r="B340" s="239"/>
      <c r="C340" s="239"/>
      <c r="D340" s="239"/>
      <c r="E340" s="239"/>
      <c r="F340" s="239"/>
      <c r="G340" s="239"/>
      <c r="H340" s="255" t="s">
        <v>239</v>
      </c>
    </row>
    <row r="341" spans="2:8" x14ac:dyDescent="0.25">
      <c r="B341" s="242" t="s">
        <v>240</v>
      </c>
      <c r="C341" s="242">
        <v>4</v>
      </c>
      <c r="D341" s="256">
        <v>2951</v>
      </c>
      <c r="E341" s="243">
        <f>+C341*D341</f>
        <v>11804</v>
      </c>
      <c r="F341" s="239" t="s">
        <v>241</v>
      </c>
      <c r="G341" s="239">
        <f>2951*1.3*0.2</f>
        <v>767.2600000000001</v>
      </c>
      <c r="H341" s="239">
        <f>+G341*0.3</f>
        <v>230.17800000000003</v>
      </c>
    </row>
    <row r="342" spans="2:8" x14ac:dyDescent="0.25">
      <c r="B342" s="242" t="s">
        <v>242</v>
      </c>
      <c r="C342" s="242">
        <v>2</v>
      </c>
      <c r="D342" s="243">
        <v>800</v>
      </c>
      <c r="E342" s="243">
        <f>+C342*D342</f>
        <v>1600</v>
      </c>
      <c r="F342" s="239"/>
      <c r="G342" s="239"/>
      <c r="H342" s="239"/>
    </row>
    <row r="343" spans="2:8" x14ac:dyDescent="0.25">
      <c r="B343" s="242" t="s">
        <v>243</v>
      </c>
      <c r="C343" s="242">
        <v>1</v>
      </c>
      <c r="D343" s="243">
        <v>19665</v>
      </c>
      <c r="E343" s="243">
        <f>+C343*D343</f>
        <v>19665</v>
      </c>
      <c r="F343" s="239"/>
      <c r="G343" s="239" t="s">
        <v>244</v>
      </c>
      <c r="H343" s="239"/>
    </row>
    <row r="344" spans="2:8" x14ac:dyDescent="0.25">
      <c r="B344" s="242" t="s">
        <v>245</v>
      </c>
      <c r="C344" s="242">
        <v>1</v>
      </c>
      <c r="D344" s="243">
        <v>3000</v>
      </c>
      <c r="E344" s="243">
        <f>+C344*D344</f>
        <v>3000</v>
      </c>
      <c r="F344" s="239"/>
      <c r="G344" s="239" t="s">
        <v>246</v>
      </c>
      <c r="H344" s="239">
        <f>280/1.18</f>
        <v>237.28813559322035</v>
      </c>
    </row>
    <row r="345" spans="2:8" x14ac:dyDescent="0.25">
      <c r="B345" s="242" t="s">
        <v>247</v>
      </c>
      <c r="C345" s="242">
        <v>1</v>
      </c>
      <c r="D345" s="243">
        <v>9000</v>
      </c>
      <c r="E345" s="243">
        <f>+C345*D345</f>
        <v>9000</v>
      </c>
      <c r="F345" s="239"/>
      <c r="G345" s="239" t="s">
        <v>248</v>
      </c>
      <c r="H345" s="239"/>
    </row>
    <row r="346" spans="2:8" x14ac:dyDescent="0.25">
      <c r="B346" s="242" t="s">
        <v>249</v>
      </c>
      <c r="C346" s="239"/>
      <c r="D346" s="239"/>
      <c r="E346" s="247">
        <f>SUM(E341:E345)</f>
        <v>45069</v>
      </c>
      <c r="F346" s="239"/>
      <c r="G346" s="239"/>
      <c r="H346" s="239"/>
    </row>
    <row r="347" spans="2:8" x14ac:dyDescent="0.25">
      <c r="B347" s="242" t="s">
        <v>250</v>
      </c>
      <c r="C347" s="249">
        <v>0.3</v>
      </c>
      <c r="D347" s="239"/>
      <c r="E347" s="257">
        <f>+C347*E346</f>
        <v>13520.699999999999</v>
      </c>
      <c r="F347" s="239"/>
      <c r="G347" s="239"/>
      <c r="H347" s="239"/>
    </row>
    <row r="348" spans="2:8" x14ac:dyDescent="0.25">
      <c r="B348" s="242" t="s">
        <v>251</v>
      </c>
      <c r="C348" s="249"/>
      <c r="D348" s="239"/>
      <c r="E348" s="258">
        <f>+E346+E347</f>
        <v>58589.7</v>
      </c>
      <c r="F348" s="239"/>
      <c r="G348" s="239"/>
      <c r="H348" s="239"/>
    </row>
    <row r="349" spans="2:8" x14ac:dyDescent="0.25">
      <c r="B349" s="242" t="s">
        <v>252</v>
      </c>
      <c r="C349" s="259">
        <v>0.3</v>
      </c>
      <c r="D349" s="239"/>
      <c r="E349" s="257">
        <f>+E348*C349</f>
        <v>17576.91</v>
      </c>
      <c r="F349" s="239"/>
      <c r="G349" s="239"/>
      <c r="H349" s="239"/>
    </row>
    <row r="350" spans="2:8" x14ac:dyDescent="0.25">
      <c r="B350" s="242" t="s">
        <v>253</v>
      </c>
      <c r="C350" s="260">
        <v>0.5</v>
      </c>
      <c r="D350" s="239"/>
      <c r="E350" s="257">
        <f>+E349*C350</f>
        <v>8788.4549999999999</v>
      </c>
      <c r="F350" s="239"/>
      <c r="G350" s="239"/>
      <c r="H350" s="239"/>
    </row>
    <row r="351" spans="2:8" x14ac:dyDescent="0.25">
      <c r="B351" s="242" t="s">
        <v>254</v>
      </c>
      <c r="C351" s="242">
        <v>12</v>
      </c>
      <c r="D351" s="239"/>
      <c r="E351" s="257">
        <f>+E350/C351</f>
        <v>732.37125000000003</v>
      </c>
      <c r="F351" s="239" t="s">
        <v>255</v>
      </c>
      <c r="G351" s="239"/>
      <c r="H351" s="239"/>
    </row>
    <row r="352" spans="2:8" x14ac:dyDescent="0.25">
      <c r="B352" s="242" t="s">
        <v>257</v>
      </c>
      <c r="C352" s="242">
        <v>10</v>
      </c>
      <c r="D352" s="239"/>
      <c r="E352" s="263">
        <f>+C352*E351</f>
        <v>7323.7125000000005</v>
      </c>
      <c r="F352" s="262" t="e">
        <f>+E352/#REF!</f>
        <v>#REF!</v>
      </c>
      <c r="G352" s="264" t="s">
        <v>237</v>
      </c>
      <c r="H352" s="239"/>
    </row>
    <row r="353" spans="2:8" x14ac:dyDescent="0.25">
      <c r="B353" s="242"/>
      <c r="C353" s="242"/>
      <c r="D353" s="239"/>
      <c r="E353" s="269">
        <f>+E338+E352-117.654768</f>
        <v>14851.036898666667</v>
      </c>
      <c r="F353" s="262" t="e">
        <f>+F352+F338</f>
        <v>#REF!</v>
      </c>
      <c r="G353" s="265"/>
      <c r="H353" s="239"/>
    </row>
    <row r="354" spans="2:8" x14ac:dyDescent="0.25">
      <c r="B354" s="239"/>
      <c r="C354" s="239"/>
      <c r="D354" s="239"/>
      <c r="E354" s="266"/>
      <c r="F354" s="267"/>
      <c r="G354" s="268"/>
      <c r="H354" s="239"/>
    </row>
    <row r="355" spans="2:8" x14ac:dyDescent="0.25">
      <c r="B355" s="239"/>
      <c r="C355" s="239"/>
      <c r="D355" s="239"/>
      <c r="E355" s="567">
        <f>+K220</f>
        <v>-138890.445232</v>
      </c>
      <c r="F355" s="239"/>
      <c r="G355" s="239"/>
      <c r="H355" s="239"/>
    </row>
  </sheetData>
  <mergeCells count="65">
    <mergeCell ref="F192:G192"/>
    <mergeCell ref="A166:H166"/>
    <mergeCell ref="A185:H185"/>
    <mergeCell ref="F190:G190"/>
    <mergeCell ref="B249:H249"/>
    <mergeCell ref="A2:H2"/>
    <mergeCell ref="A4:H4"/>
    <mergeCell ref="B131:E131"/>
    <mergeCell ref="B132:E132"/>
    <mergeCell ref="B222:H222"/>
    <mergeCell ref="B126:H126"/>
    <mergeCell ref="B128:G128"/>
    <mergeCell ref="A13:H13"/>
    <mergeCell ref="B130:E130"/>
    <mergeCell ref="B137:G137"/>
    <mergeCell ref="B194:C194"/>
    <mergeCell ref="D188:E188"/>
    <mergeCell ref="B19:E19"/>
    <mergeCell ref="A71:E71"/>
    <mergeCell ref="B73:E73"/>
    <mergeCell ref="A107:F107"/>
    <mergeCell ref="B258:H258"/>
    <mergeCell ref="B197:G197"/>
    <mergeCell ref="B181:G181"/>
    <mergeCell ref="A186:H186"/>
    <mergeCell ref="D194:G194"/>
    <mergeCell ref="D195:E195"/>
    <mergeCell ref="A202:H202"/>
    <mergeCell ref="A201:H201"/>
    <mergeCell ref="D190:E190"/>
    <mergeCell ref="F188:G188"/>
    <mergeCell ref="D191:E191"/>
    <mergeCell ref="D189:E189"/>
    <mergeCell ref="B229:H229"/>
    <mergeCell ref="F189:G189"/>
    <mergeCell ref="F191:G191"/>
    <mergeCell ref="D192:E192"/>
    <mergeCell ref="H16:H17"/>
    <mergeCell ref="B15:B17"/>
    <mergeCell ref="C15:H15"/>
    <mergeCell ref="C16:C17"/>
    <mergeCell ref="D16:D17"/>
    <mergeCell ref="E16:E17"/>
    <mergeCell ref="F16:F17"/>
    <mergeCell ref="G16:G17"/>
    <mergeCell ref="B110:E110"/>
    <mergeCell ref="B129:G129"/>
    <mergeCell ref="B139:H139"/>
    <mergeCell ref="B140:G140"/>
    <mergeCell ref="B141:G141"/>
    <mergeCell ref="B127:G127"/>
    <mergeCell ref="B142:G142"/>
    <mergeCell ref="B143:E143"/>
    <mergeCell ref="B144:E144"/>
    <mergeCell ref="B145:E145"/>
    <mergeCell ref="B150:G150"/>
    <mergeCell ref="B158:E158"/>
    <mergeCell ref="B159:E159"/>
    <mergeCell ref="B164:G164"/>
    <mergeCell ref="B156:G156"/>
    <mergeCell ref="B152:H152"/>
    <mergeCell ref="B153:G153"/>
    <mergeCell ref="B154:G154"/>
    <mergeCell ref="B155:G155"/>
    <mergeCell ref="B157:E157"/>
  </mergeCells>
  <printOptions horizontalCentered="1"/>
  <pageMargins left="0.43307086614173229" right="0.43307086614173229" top="0.43307086614173229" bottom="0.43307086614173229" header="0.23622047244094491" footer="0.23622047244094491"/>
  <pageSetup paperSize="9" scale="53" fitToHeight="4" orientation="portrait" r:id="rId1"/>
  <headerFooter alignWithMargins="0">
    <oddFooter>&amp;RPágina &amp;P</oddFooter>
  </headerFooter>
  <rowBreaks count="3" manualBreakCount="3">
    <brk id="72" max="7" man="1"/>
    <brk id="151" max="7" man="1"/>
    <brk id="200" max="7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39"/>
  <sheetViews>
    <sheetView showGridLines="0" view="pageBreakPreview" zoomScaleNormal="100" zoomScaleSheetLayoutView="100" workbookViewId="0">
      <selection activeCell="E4" sqref="E4"/>
    </sheetView>
  </sheetViews>
  <sheetFormatPr baseColWidth="10" defaultRowHeight="13.8" x14ac:dyDescent="0.3"/>
  <cols>
    <col min="1" max="1" width="3" style="110" bestFit="1" customWidth="1"/>
    <col min="2" max="2" width="19" style="110" customWidth="1"/>
    <col min="3" max="3" width="16" style="110" bestFit="1" customWidth="1"/>
    <col min="4" max="4" width="5.6640625" style="110" bestFit="1" customWidth="1"/>
    <col min="5" max="5" width="14" style="110" bestFit="1" customWidth="1"/>
    <col min="6" max="6" width="11" style="110" bestFit="1" customWidth="1"/>
    <col min="7" max="7" width="10.5546875" style="110" customWidth="1"/>
    <col min="8" max="8" width="13.5546875" style="110" bestFit="1" customWidth="1"/>
    <col min="9" max="9" width="16.88671875" style="110" bestFit="1" customWidth="1"/>
    <col min="10" max="10" width="15.88671875" style="110" customWidth="1"/>
    <col min="11" max="11" width="9.5546875" style="110" customWidth="1"/>
    <col min="12" max="256" width="11.44140625" style="110"/>
    <col min="257" max="257" width="3" style="110" bestFit="1" customWidth="1"/>
    <col min="258" max="258" width="19" style="110" customWidth="1"/>
    <col min="259" max="259" width="16" style="110" bestFit="1" customWidth="1"/>
    <col min="260" max="260" width="5.6640625" style="110" bestFit="1" customWidth="1"/>
    <col min="261" max="261" width="14" style="110" bestFit="1" customWidth="1"/>
    <col min="262" max="262" width="11" style="110" bestFit="1" customWidth="1"/>
    <col min="263" max="263" width="10" style="110" bestFit="1" customWidth="1"/>
    <col min="264" max="264" width="13.5546875" style="110" bestFit="1" customWidth="1"/>
    <col min="265" max="265" width="16.88671875" style="110" bestFit="1" customWidth="1"/>
    <col min="266" max="266" width="14" style="110" bestFit="1" customWidth="1"/>
    <col min="267" max="512" width="11.44140625" style="110"/>
    <col min="513" max="513" width="3" style="110" bestFit="1" customWidth="1"/>
    <col min="514" max="514" width="19" style="110" customWidth="1"/>
    <col min="515" max="515" width="16" style="110" bestFit="1" customWidth="1"/>
    <col min="516" max="516" width="5.6640625" style="110" bestFit="1" customWidth="1"/>
    <col min="517" max="517" width="14" style="110" bestFit="1" customWidth="1"/>
    <col min="518" max="518" width="11" style="110" bestFit="1" customWidth="1"/>
    <col min="519" max="519" width="10" style="110" bestFit="1" customWidth="1"/>
    <col min="520" max="520" width="13.5546875" style="110" bestFit="1" customWidth="1"/>
    <col min="521" max="521" width="16.88671875" style="110" bestFit="1" customWidth="1"/>
    <col min="522" max="522" width="14" style="110" bestFit="1" customWidth="1"/>
    <col min="523" max="768" width="11.44140625" style="110"/>
    <col min="769" max="769" width="3" style="110" bestFit="1" customWidth="1"/>
    <col min="770" max="770" width="19" style="110" customWidth="1"/>
    <col min="771" max="771" width="16" style="110" bestFit="1" customWidth="1"/>
    <col min="772" max="772" width="5.6640625" style="110" bestFit="1" customWidth="1"/>
    <col min="773" max="773" width="14" style="110" bestFit="1" customWidth="1"/>
    <col min="774" max="774" width="11" style="110" bestFit="1" customWidth="1"/>
    <col min="775" max="775" width="10" style="110" bestFit="1" customWidth="1"/>
    <col min="776" max="776" width="13.5546875" style="110" bestFit="1" customWidth="1"/>
    <col min="777" max="777" width="16.88671875" style="110" bestFit="1" customWidth="1"/>
    <col min="778" max="778" width="14" style="110" bestFit="1" customWidth="1"/>
    <col min="779" max="1024" width="11.44140625" style="110"/>
    <col min="1025" max="1025" width="3" style="110" bestFit="1" customWidth="1"/>
    <col min="1026" max="1026" width="19" style="110" customWidth="1"/>
    <col min="1027" max="1027" width="16" style="110" bestFit="1" customWidth="1"/>
    <col min="1028" max="1028" width="5.6640625" style="110" bestFit="1" customWidth="1"/>
    <col min="1029" max="1029" width="14" style="110" bestFit="1" customWidth="1"/>
    <col min="1030" max="1030" width="11" style="110" bestFit="1" customWidth="1"/>
    <col min="1031" max="1031" width="10" style="110" bestFit="1" customWidth="1"/>
    <col min="1032" max="1032" width="13.5546875" style="110" bestFit="1" customWidth="1"/>
    <col min="1033" max="1033" width="16.88671875" style="110" bestFit="1" customWidth="1"/>
    <col min="1034" max="1034" width="14" style="110" bestFit="1" customWidth="1"/>
    <col min="1035" max="1280" width="11.44140625" style="110"/>
    <col min="1281" max="1281" width="3" style="110" bestFit="1" customWidth="1"/>
    <col min="1282" max="1282" width="19" style="110" customWidth="1"/>
    <col min="1283" max="1283" width="16" style="110" bestFit="1" customWidth="1"/>
    <col min="1284" max="1284" width="5.6640625" style="110" bestFit="1" customWidth="1"/>
    <col min="1285" max="1285" width="14" style="110" bestFit="1" customWidth="1"/>
    <col min="1286" max="1286" width="11" style="110" bestFit="1" customWidth="1"/>
    <col min="1287" max="1287" width="10" style="110" bestFit="1" customWidth="1"/>
    <col min="1288" max="1288" width="13.5546875" style="110" bestFit="1" customWidth="1"/>
    <col min="1289" max="1289" width="16.88671875" style="110" bestFit="1" customWidth="1"/>
    <col min="1290" max="1290" width="14" style="110" bestFit="1" customWidth="1"/>
    <col min="1291" max="1536" width="11.44140625" style="110"/>
    <col min="1537" max="1537" width="3" style="110" bestFit="1" customWidth="1"/>
    <col min="1538" max="1538" width="19" style="110" customWidth="1"/>
    <col min="1539" max="1539" width="16" style="110" bestFit="1" customWidth="1"/>
    <col min="1540" max="1540" width="5.6640625" style="110" bestFit="1" customWidth="1"/>
    <col min="1541" max="1541" width="14" style="110" bestFit="1" customWidth="1"/>
    <col min="1542" max="1542" width="11" style="110" bestFit="1" customWidth="1"/>
    <col min="1543" max="1543" width="10" style="110" bestFit="1" customWidth="1"/>
    <col min="1544" max="1544" width="13.5546875" style="110" bestFit="1" customWidth="1"/>
    <col min="1545" max="1545" width="16.88671875" style="110" bestFit="1" customWidth="1"/>
    <col min="1546" max="1546" width="14" style="110" bestFit="1" customWidth="1"/>
    <col min="1547" max="1792" width="11.44140625" style="110"/>
    <col min="1793" max="1793" width="3" style="110" bestFit="1" customWidth="1"/>
    <col min="1794" max="1794" width="19" style="110" customWidth="1"/>
    <col min="1795" max="1795" width="16" style="110" bestFit="1" customWidth="1"/>
    <col min="1796" max="1796" width="5.6640625" style="110" bestFit="1" customWidth="1"/>
    <col min="1797" max="1797" width="14" style="110" bestFit="1" customWidth="1"/>
    <col min="1798" max="1798" width="11" style="110" bestFit="1" customWidth="1"/>
    <col min="1799" max="1799" width="10" style="110" bestFit="1" customWidth="1"/>
    <col min="1800" max="1800" width="13.5546875" style="110" bestFit="1" customWidth="1"/>
    <col min="1801" max="1801" width="16.88671875" style="110" bestFit="1" customWidth="1"/>
    <col min="1802" max="1802" width="14" style="110" bestFit="1" customWidth="1"/>
    <col min="1803" max="2048" width="11.44140625" style="110"/>
    <col min="2049" max="2049" width="3" style="110" bestFit="1" customWidth="1"/>
    <col min="2050" max="2050" width="19" style="110" customWidth="1"/>
    <col min="2051" max="2051" width="16" style="110" bestFit="1" customWidth="1"/>
    <col min="2052" max="2052" width="5.6640625" style="110" bestFit="1" customWidth="1"/>
    <col min="2053" max="2053" width="14" style="110" bestFit="1" customWidth="1"/>
    <col min="2054" max="2054" width="11" style="110" bestFit="1" customWidth="1"/>
    <col min="2055" max="2055" width="10" style="110" bestFit="1" customWidth="1"/>
    <col min="2056" max="2056" width="13.5546875" style="110" bestFit="1" customWidth="1"/>
    <col min="2057" max="2057" width="16.88671875" style="110" bestFit="1" customWidth="1"/>
    <col min="2058" max="2058" width="14" style="110" bestFit="1" customWidth="1"/>
    <col min="2059" max="2304" width="11.44140625" style="110"/>
    <col min="2305" max="2305" width="3" style="110" bestFit="1" customWidth="1"/>
    <col min="2306" max="2306" width="19" style="110" customWidth="1"/>
    <col min="2307" max="2307" width="16" style="110" bestFit="1" customWidth="1"/>
    <col min="2308" max="2308" width="5.6640625" style="110" bestFit="1" customWidth="1"/>
    <col min="2309" max="2309" width="14" style="110" bestFit="1" customWidth="1"/>
    <col min="2310" max="2310" width="11" style="110" bestFit="1" customWidth="1"/>
    <col min="2311" max="2311" width="10" style="110" bestFit="1" customWidth="1"/>
    <col min="2312" max="2312" width="13.5546875" style="110" bestFit="1" customWidth="1"/>
    <col min="2313" max="2313" width="16.88671875" style="110" bestFit="1" customWidth="1"/>
    <col min="2314" max="2314" width="14" style="110" bestFit="1" customWidth="1"/>
    <col min="2315" max="2560" width="11.44140625" style="110"/>
    <col min="2561" max="2561" width="3" style="110" bestFit="1" customWidth="1"/>
    <col min="2562" max="2562" width="19" style="110" customWidth="1"/>
    <col min="2563" max="2563" width="16" style="110" bestFit="1" customWidth="1"/>
    <col min="2564" max="2564" width="5.6640625" style="110" bestFit="1" customWidth="1"/>
    <col min="2565" max="2565" width="14" style="110" bestFit="1" customWidth="1"/>
    <col min="2566" max="2566" width="11" style="110" bestFit="1" customWidth="1"/>
    <col min="2567" max="2567" width="10" style="110" bestFit="1" customWidth="1"/>
    <col min="2568" max="2568" width="13.5546875" style="110" bestFit="1" customWidth="1"/>
    <col min="2569" max="2569" width="16.88671875" style="110" bestFit="1" customWidth="1"/>
    <col min="2570" max="2570" width="14" style="110" bestFit="1" customWidth="1"/>
    <col min="2571" max="2816" width="11.44140625" style="110"/>
    <col min="2817" max="2817" width="3" style="110" bestFit="1" customWidth="1"/>
    <col min="2818" max="2818" width="19" style="110" customWidth="1"/>
    <col min="2819" max="2819" width="16" style="110" bestFit="1" customWidth="1"/>
    <col min="2820" max="2820" width="5.6640625" style="110" bestFit="1" customWidth="1"/>
    <col min="2821" max="2821" width="14" style="110" bestFit="1" customWidth="1"/>
    <col min="2822" max="2822" width="11" style="110" bestFit="1" customWidth="1"/>
    <col min="2823" max="2823" width="10" style="110" bestFit="1" customWidth="1"/>
    <col min="2824" max="2824" width="13.5546875" style="110" bestFit="1" customWidth="1"/>
    <col min="2825" max="2825" width="16.88671875" style="110" bestFit="1" customWidth="1"/>
    <col min="2826" max="2826" width="14" style="110" bestFit="1" customWidth="1"/>
    <col min="2827" max="3072" width="11.44140625" style="110"/>
    <col min="3073" max="3073" width="3" style="110" bestFit="1" customWidth="1"/>
    <col min="3074" max="3074" width="19" style="110" customWidth="1"/>
    <col min="3075" max="3075" width="16" style="110" bestFit="1" customWidth="1"/>
    <col min="3076" max="3076" width="5.6640625" style="110" bestFit="1" customWidth="1"/>
    <col min="3077" max="3077" width="14" style="110" bestFit="1" customWidth="1"/>
    <col min="3078" max="3078" width="11" style="110" bestFit="1" customWidth="1"/>
    <col min="3079" max="3079" width="10" style="110" bestFit="1" customWidth="1"/>
    <col min="3080" max="3080" width="13.5546875" style="110" bestFit="1" customWidth="1"/>
    <col min="3081" max="3081" width="16.88671875" style="110" bestFit="1" customWidth="1"/>
    <col min="3082" max="3082" width="14" style="110" bestFit="1" customWidth="1"/>
    <col min="3083" max="3328" width="11.44140625" style="110"/>
    <col min="3329" max="3329" width="3" style="110" bestFit="1" customWidth="1"/>
    <col min="3330" max="3330" width="19" style="110" customWidth="1"/>
    <col min="3331" max="3331" width="16" style="110" bestFit="1" customWidth="1"/>
    <col min="3332" max="3332" width="5.6640625" style="110" bestFit="1" customWidth="1"/>
    <col min="3333" max="3333" width="14" style="110" bestFit="1" customWidth="1"/>
    <col min="3334" max="3334" width="11" style="110" bestFit="1" customWidth="1"/>
    <col min="3335" max="3335" width="10" style="110" bestFit="1" customWidth="1"/>
    <col min="3336" max="3336" width="13.5546875" style="110" bestFit="1" customWidth="1"/>
    <col min="3337" max="3337" width="16.88671875" style="110" bestFit="1" customWidth="1"/>
    <col min="3338" max="3338" width="14" style="110" bestFit="1" customWidth="1"/>
    <col min="3339" max="3584" width="11.44140625" style="110"/>
    <col min="3585" max="3585" width="3" style="110" bestFit="1" customWidth="1"/>
    <col min="3586" max="3586" width="19" style="110" customWidth="1"/>
    <col min="3587" max="3587" width="16" style="110" bestFit="1" customWidth="1"/>
    <col min="3588" max="3588" width="5.6640625" style="110" bestFit="1" customWidth="1"/>
    <col min="3589" max="3589" width="14" style="110" bestFit="1" customWidth="1"/>
    <col min="3590" max="3590" width="11" style="110" bestFit="1" customWidth="1"/>
    <col min="3591" max="3591" width="10" style="110" bestFit="1" customWidth="1"/>
    <col min="3592" max="3592" width="13.5546875" style="110" bestFit="1" customWidth="1"/>
    <col min="3593" max="3593" width="16.88671875" style="110" bestFit="1" customWidth="1"/>
    <col min="3594" max="3594" width="14" style="110" bestFit="1" customWidth="1"/>
    <col min="3595" max="3840" width="11.44140625" style="110"/>
    <col min="3841" max="3841" width="3" style="110" bestFit="1" customWidth="1"/>
    <col min="3842" max="3842" width="19" style="110" customWidth="1"/>
    <col min="3843" max="3843" width="16" style="110" bestFit="1" customWidth="1"/>
    <col min="3844" max="3844" width="5.6640625" style="110" bestFit="1" customWidth="1"/>
    <col min="3845" max="3845" width="14" style="110" bestFit="1" customWidth="1"/>
    <col min="3846" max="3846" width="11" style="110" bestFit="1" customWidth="1"/>
    <col min="3847" max="3847" width="10" style="110" bestFit="1" customWidth="1"/>
    <col min="3848" max="3848" width="13.5546875" style="110" bestFit="1" customWidth="1"/>
    <col min="3849" max="3849" width="16.88671875" style="110" bestFit="1" customWidth="1"/>
    <col min="3850" max="3850" width="14" style="110" bestFit="1" customWidth="1"/>
    <col min="3851" max="4096" width="11.44140625" style="110"/>
    <col min="4097" max="4097" width="3" style="110" bestFit="1" customWidth="1"/>
    <col min="4098" max="4098" width="19" style="110" customWidth="1"/>
    <col min="4099" max="4099" width="16" style="110" bestFit="1" customWidth="1"/>
    <col min="4100" max="4100" width="5.6640625" style="110" bestFit="1" customWidth="1"/>
    <col min="4101" max="4101" width="14" style="110" bestFit="1" customWidth="1"/>
    <col min="4102" max="4102" width="11" style="110" bestFit="1" customWidth="1"/>
    <col min="4103" max="4103" width="10" style="110" bestFit="1" customWidth="1"/>
    <col min="4104" max="4104" width="13.5546875" style="110" bestFit="1" customWidth="1"/>
    <col min="4105" max="4105" width="16.88671875" style="110" bestFit="1" customWidth="1"/>
    <col min="4106" max="4106" width="14" style="110" bestFit="1" customWidth="1"/>
    <col min="4107" max="4352" width="11.44140625" style="110"/>
    <col min="4353" max="4353" width="3" style="110" bestFit="1" customWidth="1"/>
    <col min="4354" max="4354" width="19" style="110" customWidth="1"/>
    <col min="4355" max="4355" width="16" style="110" bestFit="1" customWidth="1"/>
    <col min="4356" max="4356" width="5.6640625" style="110" bestFit="1" customWidth="1"/>
    <col min="4357" max="4357" width="14" style="110" bestFit="1" customWidth="1"/>
    <col min="4358" max="4358" width="11" style="110" bestFit="1" customWidth="1"/>
    <col min="4359" max="4359" width="10" style="110" bestFit="1" customWidth="1"/>
    <col min="4360" max="4360" width="13.5546875" style="110" bestFit="1" customWidth="1"/>
    <col min="4361" max="4361" width="16.88671875" style="110" bestFit="1" customWidth="1"/>
    <col min="4362" max="4362" width="14" style="110" bestFit="1" customWidth="1"/>
    <col min="4363" max="4608" width="11.44140625" style="110"/>
    <col min="4609" max="4609" width="3" style="110" bestFit="1" customWidth="1"/>
    <col min="4610" max="4610" width="19" style="110" customWidth="1"/>
    <col min="4611" max="4611" width="16" style="110" bestFit="1" customWidth="1"/>
    <col min="4612" max="4612" width="5.6640625" style="110" bestFit="1" customWidth="1"/>
    <col min="4613" max="4613" width="14" style="110" bestFit="1" customWidth="1"/>
    <col min="4614" max="4614" width="11" style="110" bestFit="1" customWidth="1"/>
    <col min="4615" max="4615" width="10" style="110" bestFit="1" customWidth="1"/>
    <col min="4616" max="4616" width="13.5546875" style="110" bestFit="1" customWidth="1"/>
    <col min="4617" max="4617" width="16.88671875" style="110" bestFit="1" customWidth="1"/>
    <col min="4618" max="4618" width="14" style="110" bestFit="1" customWidth="1"/>
    <col min="4619" max="4864" width="11.44140625" style="110"/>
    <col min="4865" max="4865" width="3" style="110" bestFit="1" customWidth="1"/>
    <col min="4866" max="4866" width="19" style="110" customWidth="1"/>
    <col min="4867" max="4867" width="16" style="110" bestFit="1" customWidth="1"/>
    <col min="4868" max="4868" width="5.6640625" style="110" bestFit="1" customWidth="1"/>
    <col min="4869" max="4869" width="14" style="110" bestFit="1" customWidth="1"/>
    <col min="4870" max="4870" width="11" style="110" bestFit="1" customWidth="1"/>
    <col min="4871" max="4871" width="10" style="110" bestFit="1" customWidth="1"/>
    <col min="4872" max="4872" width="13.5546875" style="110" bestFit="1" customWidth="1"/>
    <col min="4873" max="4873" width="16.88671875" style="110" bestFit="1" customWidth="1"/>
    <col min="4874" max="4874" width="14" style="110" bestFit="1" customWidth="1"/>
    <col min="4875" max="5120" width="11.44140625" style="110"/>
    <col min="5121" max="5121" width="3" style="110" bestFit="1" customWidth="1"/>
    <col min="5122" max="5122" width="19" style="110" customWidth="1"/>
    <col min="5123" max="5123" width="16" style="110" bestFit="1" customWidth="1"/>
    <col min="5124" max="5124" width="5.6640625" style="110" bestFit="1" customWidth="1"/>
    <col min="5125" max="5125" width="14" style="110" bestFit="1" customWidth="1"/>
    <col min="5126" max="5126" width="11" style="110" bestFit="1" customWidth="1"/>
    <col min="5127" max="5127" width="10" style="110" bestFit="1" customWidth="1"/>
    <col min="5128" max="5128" width="13.5546875" style="110" bestFit="1" customWidth="1"/>
    <col min="5129" max="5129" width="16.88671875" style="110" bestFit="1" customWidth="1"/>
    <col min="5130" max="5130" width="14" style="110" bestFit="1" customWidth="1"/>
    <col min="5131" max="5376" width="11.44140625" style="110"/>
    <col min="5377" max="5377" width="3" style="110" bestFit="1" customWidth="1"/>
    <col min="5378" max="5378" width="19" style="110" customWidth="1"/>
    <col min="5379" max="5379" width="16" style="110" bestFit="1" customWidth="1"/>
    <col min="5380" max="5380" width="5.6640625" style="110" bestFit="1" customWidth="1"/>
    <col min="5381" max="5381" width="14" style="110" bestFit="1" customWidth="1"/>
    <col min="5382" max="5382" width="11" style="110" bestFit="1" customWidth="1"/>
    <col min="5383" max="5383" width="10" style="110" bestFit="1" customWidth="1"/>
    <col min="5384" max="5384" width="13.5546875" style="110" bestFit="1" customWidth="1"/>
    <col min="5385" max="5385" width="16.88671875" style="110" bestFit="1" customWidth="1"/>
    <col min="5386" max="5386" width="14" style="110" bestFit="1" customWidth="1"/>
    <col min="5387" max="5632" width="11.44140625" style="110"/>
    <col min="5633" max="5633" width="3" style="110" bestFit="1" customWidth="1"/>
    <col min="5634" max="5634" width="19" style="110" customWidth="1"/>
    <col min="5635" max="5635" width="16" style="110" bestFit="1" customWidth="1"/>
    <col min="5636" max="5636" width="5.6640625" style="110" bestFit="1" customWidth="1"/>
    <col min="5637" max="5637" width="14" style="110" bestFit="1" customWidth="1"/>
    <col min="5638" max="5638" width="11" style="110" bestFit="1" customWidth="1"/>
    <col min="5639" max="5639" width="10" style="110" bestFit="1" customWidth="1"/>
    <col min="5640" max="5640" width="13.5546875" style="110" bestFit="1" customWidth="1"/>
    <col min="5641" max="5641" width="16.88671875" style="110" bestFit="1" customWidth="1"/>
    <col min="5642" max="5642" width="14" style="110" bestFit="1" customWidth="1"/>
    <col min="5643" max="5888" width="11.44140625" style="110"/>
    <col min="5889" max="5889" width="3" style="110" bestFit="1" customWidth="1"/>
    <col min="5890" max="5890" width="19" style="110" customWidth="1"/>
    <col min="5891" max="5891" width="16" style="110" bestFit="1" customWidth="1"/>
    <col min="5892" max="5892" width="5.6640625" style="110" bestFit="1" customWidth="1"/>
    <col min="5893" max="5893" width="14" style="110" bestFit="1" customWidth="1"/>
    <col min="5894" max="5894" width="11" style="110" bestFit="1" customWidth="1"/>
    <col min="5895" max="5895" width="10" style="110" bestFit="1" customWidth="1"/>
    <col min="5896" max="5896" width="13.5546875" style="110" bestFit="1" customWidth="1"/>
    <col min="5897" max="5897" width="16.88671875" style="110" bestFit="1" customWidth="1"/>
    <col min="5898" max="5898" width="14" style="110" bestFit="1" customWidth="1"/>
    <col min="5899" max="6144" width="11.44140625" style="110"/>
    <col min="6145" max="6145" width="3" style="110" bestFit="1" customWidth="1"/>
    <col min="6146" max="6146" width="19" style="110" customWidth="1"/>
    <col min="6147" max="6147" width="16" style="110" bestFit="1" customWidth="1"/>
    <col min="6148" max="6148" width="5.6640625" style="110" bestFit="1" customWidth="1"/>
    <col min="6149" max="6149" width="14" style="110" bestFit="1" customWidth="1"/>
    <col min="6150" max="6150" width="11" style="110" bestFit="1" customWidth="1"/>
    <col min="6151" max="6151" width="10" style="110" bestFit="1" customWidth="1"/>
    <col min="6152" max="6152" width="13.5546875" style="110" bestFit="1" customWidth="1"/>
    <col min="6153" max="6153" width="16.88671875" style="110" bestFit="1" customWidth="1"/>
    <col min="6154" max="6154" width="14" style="110" bestFit="1" customWidth="1"/>
    <col min="6155" max="6400" width="11.44140625" style="110"/>
    <col min="6401" max="6401" width="3" style="110" bestFit="1" customWidth="1"/>
    <col min="6402" max="6402" width="19" style="110" customWidth="1"/>
    <col min="6403" max="6403" width="16" style="110" bestFit="1" customWidth="1"/>
    <col min="6404" max="6404" width="5.6640625" style="110" bestFit="1" customWidth="1"/>
    <col min="6405" max="6405" width="14" style="110" bestFit="1" customWidth="1"/>
    <col min="6406" max="6406" width="11" style="110" bestFit="1" customWidth="1"/>
    <col min="6407" max="6407" width="10" style="110" bestFit="1" customWidth="1"/>
    <col min="6408" max="6408" width="13.5546875" style="110" bestFit="1" customWidth="1"/>
    <col min="6409" max="6409" width="16.88671875" style="110" bestFit="1" customWidth="1"/>
    <col min="6410" max="6410" width="14" style="110" bestFit="1" customWidth="1"/>
    <col min="6411" max="6656" width="11.44140625" style="110"/>
    <col min="6657" max="6657" width="3" style="110" bestFit="1" customWidth="1"/>
    <col min="6658" max="6658" width="19" style="110" customWidth="1"/>
    <col min="6659" max="6659" width="16" style="110" bestFit="1" customWidth="1"/>
    <col min="6660" max="6660" width="5.6640625" style="110" bestFit="1" customWidth="1"/>
    <col min="6661" max="6661" width="14" style="110" bestFit="1" customWidth="1"/>
    <col min="6662" max="6662" width="11" style="110" bestFit="1" customWidth="1"/>
    <col min="6663" max="6663" width="10" style="110" bestFit="1" customWidth="1"/>
    <col min="6664" max="6664" width="13.5546875" style="110" bestFit="1" customWidth="1"/>
    <col min="6665" max="6665" width="16.88671875" style="110" bestFit="1" customWidth="1"/>
    <col min="6666" max="6666" width="14" style="110" bestFit="1" customWidth="1"/>
    <col min="6667" max="6912" width="11.44140625" style="110"/>
    <col min="6913" max="6913" width="3" style="110" bestFit="1" customWidth="1"/>
    <col min="6914" max="6914" width="19" style="110" customWidth="1"/>
    <col min="6915" max="6915" width="16" style="110" bestFit="1" customWidth="1"/>
    <col min="6916" max="6916" width="5.6640625" style="110" bestFit="1" customWidth="1"/>
    <col min="6917" max="6917" width="14" style="110" bestFit="1" customWidth="1"/>
    <col min="6918" max="6918" width="11" style="110" bestFit="1" customWidth="1"/>
    <col min="6919" max="6919" width="10" style="110" bestFit="1" customWidth="1"/>
    <col min="6920" max="6920" width="13.5546875" style="110" bestFit="1" customWidth="1"/>
    <col min="6921" max="6921" width="16.88671875" style="110" bestFit="1" customWidth="1"/>
    <col min="6922" max="6922" width="14" style="110" bestFit="1" customWidth="1"/>
    <col min="6923" max="7168" width="11.44140625" style="110"/>
    <col min="7169" max="7169" width="3" style="110" bestFit="1" customWidth="1"/>
    <col min="7170" max="7170" width="19" style="110" customWidth="1"/>
    <col min="7171" max="7171" width="16" style="110" bestFit="1" customWidth="1"/>
    <col min="7172" max="7172" width="5.6640625" style="110" bestFit="1" customWidth="1"/>
    <col min="7173" max="7173" width="14" style="110" bestFit="1" customWidth="1"/>
    <col min="7174" max="7174" width="11" style="110" bestFit="1" customWidth="1"/>
    <col min="7175" max="7175" width="10" style="110" bestFit="1" customWidth="1"/>
    <col min="7176" max="7176" width="13.5546875" style="110" bestFit="1" customWidth="1"/>
    <col min="7177" max="7177" width="16.88671875" style="110" bestFit="1" customWidth="1"/>
    <col min="7178" max="7178" width="14" style="110" bestFit="1" customWidth="1"/>
    <col min="7179" max="7424" width="11.44140625" style="110"/>
    <col min="7425" max="7425" width="3" style="110" bestFit="1" customWidth="1"/>
    <col min="7426" max="7426" width="19" style="110" customWidth="1"/>
    <col min="7427" max="7427" width="16" style="110" bestFit="1" customWidth="1"/>
    <col min="7428" max="7428" width="5.6640625" style="110" bestFit="1" customWidth="1"/>
    <col min="7429" max="7429" width="14" style="110" bestFit="1" customWidth="1"/>
    <col min="7430" max="7430" width="11" style="110" bestFit="1" customWidth="1"/>
    <col min="7431" max="7431" width="10" style="110" bestFit="1" customWidth="1"/>
    <col min="7432" max="7432" width="13.5546875" style="110" bestFit="1" customWidth="1"/>
    <col min="7433" max="7433" width="16.88671875" style="110" bestFit="1" customWidth="1"/>
    <col min="7434" max="7434" width="14" style="110" bestFit="1" customWidth="1"/>
    <col min="7435" max="7680" width="11.44140625" style="110"/>
    <col min="7681" max="7681" width="3" style="110" bestFit="1" customWidth="1"/>
    <col min="7682" max="7682" width="19" style="110" customWidth="1"/>
    <col min="7683" max="7683" width="16" style="110" bestFit="1" customWidth="1"/>
    <col min="7684" max="7684" width="5.6640625" style="110" bestFit="1" customWidth="1"/>
    <col min="7685" max="7685" width="14" style="110" bestFit="1" customWidth="1"/>
    <col min="7686" max="7686" width="11" style="110" bestFit="1" customWidth="1"/>
    <col min="7687" max="7687" width="10" style="110" bestFit="1" customWidth="1"/>
    <col min="7688" max="7688" width="13.5546875" style="110" bestFit="1" customWidth="1"/>
    <col min="7689" max="7689" width="16.88671875" style="110" bestFit="1" customWidth="1"/>
    <col min="7690" max="7690" width="14" style="110" bestFit="1" customWidth="1"/>
    <col min="7691" max="7936" width="11.44140625" style="110"/>
    <col min="7937" max="7937" width="3" style="110" bestFit="1" customWidth="1"/>
    <col min="7938" max="7938" width="19" style="110" customWidth="1"/>
    <col min="7939" max="7939" width="16" style="110" bestFit="1" customWidth="1"/>
    <col min="7940" max="7940" width="5.6640625" style="110" bestFit="1" customWidth="1"/>
    <col min="7941" max="7941" width="14" style="110" bestFit="1" customWidth="1"/>
    <col min="7942" max="7942" width="11" style="110" bestFit="1" customWidth="1"/>
    <col min="7943" max="7943" width="10" style="110" bestFit="1" customWidth="1"/>
    <col min="7944" max="7944" width="13.5546875" style="110" bestFit="1" customWidth="1"/>
    <col min="7945" max="7945" width="16.88671875" style="110" bestFit="1" customWidth="1"/>
    <col min="7946" max="7946" width="14" style="110" bestFit="1" customWidth="1"/>
    <col min="7947" max="8192" width="11.44140625" style="110"/>
    <col min="8193" max="8193" width="3" style="110" bestFit="1" customWidth="1"/>
    <col min="8194" max="8194" width="19" style="110" customWidth="1"/>
    <col min="8195" max="8195" width="16" style="110" bestFit="1" customWidth="1"/>
    <col min="8196" max="8196" width="5.6640625" style="110" bestFit="1" customWidth="1"/>
    <col min="8197" max="8197" width="14" style="110" bestFit="1" customWidth="1"/>
    <col min="8198" max="8198" width="11" style="110" bestFit="1" customWidth="1"/>
    <col min="8199" max="8199" width="10" style="110" bestFit="1" customWidth="1"/>
    <col min="8200" max="8200" width="13.5546875" style="110" bestFit="1" customWidth="1"/>
    <col min="8201" max="8201" width="16.88671875" style="110" bestFit="1" customWidth="1"/>
    <col min="8202" max="8202" width="14" style="110" bestFit="1" customWidth="1"/>
    <col min="8203" max="8448" width="11.44140625" style="110"/>
    <col min="8449" max="8449" width="3" style="110" bestFit="1" customWidth="1"/>
    <col min="8450" max="8450" width="19" style="110" customWidth="1"/>
    <col min="8451" max="8451" width="16" style="110" bestFit="1" customWidth="1"/>
    <col min="8452" max="8452" width="5.6640625" style="110" bestFit="1" customWidth="1"/>
    <col min="8453" max="8453" width="14" style="110" bestFit="1" customWidth="1"/>
    <col min="8454" max="8454" width="11" style="110" bestFit="1" customWidth="1"/>
    <col min="8455" max="8455" width="10" style="110" bestFit="1" customWidth="1"/>
    <col min="8456" max="8456" width="13.5546875" style="110" bestFit="1" customWidth="1"/>
    <col min="8457" max="8457" width="16.88671875" style="110" bestFit="1" customWidth="1"/>
    <col min="8458" max="8458" width="14" style="110" bestFit="1" customWidth="1"/>
    <col min="8459" max="8704" width="11.44140625" style="110"/>
    <col min="8705" max="8705" width="3" style="110" bestFit="1" customWidth="1"/>
    <col min="8706" max="8706" width="19" style="110" customWidth="1"/>
    <col min="8707" max="8707" width="16" style="110" bestFit="1" customWidth="1"/>
    <col min="8708" max="8708" width="5.6640625" style="110" bestFit="1" customWidth="1"/>
    <col min="8709" max="8709" width="14" style="110" bestFit="1" customWidth="1"/>
    <col min="8710" max="8710" width="11" style="110" bestFit="1" customWidth="1"/>
    <col min="8711" max="8711" width="10" style="110" bestFit="1" customWidth="1"/>
    <col min="8712" max="8712" width="13.5546875" style="110" bestFit="1" customWidth="1"/>
    <col min="8713" max="8713" width="16.88671875" style="110" bestFit="1" customWidth="1"/>
    <col min="8714" max="8714" width="14" style="110" bestFit="1" customWidth="1"/>
    <col min="8715" max="8960" width="11.44140625" style="110"/>
    <col min="8961" max="8961" width="3" style="110" bestFit="1" customWidth="1"/>
    <col min="8962" max="8962" width="19" style="110" customWidth="1"/>
    <col min="8963" max="8963" width="16" style="110" bestFit="1" customWidth="1"/>
    <col min="8964" max="8964" width="5.6640625" style="110" bestFit="1" customWidth="1"/>
    <col min="8965" max="8965" width="14" style="110" bestFit="1" customWidth="1"/>
    <col min="8966" max="8966" width="11" style="110" bestFit="1" customWidth="1"/>
    <col min="8967" max="8967" width="10" style="110" bestFit="1" customWidth="1"/>
    <col min="8968" max="8968" width="13.5546875" style="110" bestFit="1" customWidth="1"/>
    <col min="8969" max="8969" width="16.88671875" style="110" bestFit="1" customWidth="1"/>
    <col min="8970" max="8970" width="14" style="110" bestFit="1" customWidth="1"/>
    <col min="8971" max="9216" width="11.44140625" style="110"/>
    <col min="9217" max="9217" width="3" style="110" bestFit="1" customWidth="1"/>
    <col min="9218" max="9218" width="19" style="110" customWidth="1"/>
    <col min="9219" max="9219" width="16" style="110" bestFit="1" customWidth="1"/>
    <col min="9220" max="9220" width="5.6640625" style="110" bestFit="1" customWidth="1"/>
    <col min="9221" max="9221" width="14" style="110" bestFit="1" customWidth="1"/>
    <col min="9222" max="9222" width="11" style="110" bestFit="1" customWidth="1"/>
    <col min="9223" max="9223" width="10" style="110" bestFit="1" customWidth="1"/>
    <col min="9224" max="9224" width="13.5546875" style="110" bestFit="1" customWidth="1"/>
    <col min="9225" max="9225" width="16.88671875" style="110" bestFit="1" customWidth="1"/>
    <col min="9226" max="9226" width="14" style="110" bestFit="1" customWidth="1"/>
    <col min="9227" max="9472" width="11.44140625" style="110"/>
    <col min="9473" max="9473" width="3" style="110" bestFit="1" customWidth="1"/>
    <col min="9474" max="9474" width="19" style="110" customWidth="1"/>
    <col min="9475" max="9475" width="16" style="110" bestFit="1" customWidth="1"/>
    <col min="9476" max="9476" width="5.6640625" style="110" bestFit="1" customWidth="1"/>
    <col min="9477" max="9477" width="14" style="110" bestFit="1" customWidth="1"/>
    <col min="9478" max="9478" width="11" style="110" bestFit="1" customWidth="1"/>
    <col min="9479" max="9479" width="10" style="110" bestFit="1" customWidth="1"/>
    <col min="9480" max="9480" width="13.5546875" style="110" bestFit="1" customWidth="1"/>
    <col min="9481" max="9481" width="16.88671875" style="110" bestFit="1" customWidth="1"/>
    <col min="9482" max="9482" width="14" style="110" bestFit="1" customWidth="1"/>
    <col min="9483" max="9728" width="11.44140625" style="110"/>
    <col min="9729" max="9729" width="3" style="110" bestFit="1" customWidth="1"/>
    <col min="9730" max="9730" width="19" style="110" customWidth="1"/>
    <col min="9731" max="9731" width="16" style="110" bestFit="1" customWidth="1"/>
    <col min="9732" max="9732" width="5.6640625" style="110" bestFit="1" customWidth="1"/>
    <col min="9733" max="9733" width="14" style="110" bestFit="1" customWidth="1"/>
    <col min="9734" max="9734" width="11" style="110" bestFit="1" customWidth="1"/>
    <col min="9735" max="9735" width="10" style="110" bestFit="1" customWidth="1"/>
    <col min="9736" max="9736" width="13.5546875" style="110" bestFit="1" customWidth="1"/>
    <col min="9737" max="9737" width="16.88671875" style="110" bestFit="1" customWidth="1"/>
    <col min="9738" max="9738" width="14" style="110" bestFit="1" customWidth="1"/>
    <col min="9739" max="9984" width="11.44140625" style="110"/>
    <col min="9985" max="9985" width="3" style="110" bestFit="1" customWidth="1"/>
    <col min="9986" max="9986" width="19" style="110" customWidth="1"/>
    <col min="9987" max="9987" width="16" style="110" bestFit="1" customWidth="1"/>
    <col min="9988" max="9988" width="5.6640625" style="110" bestFit="1" customWidth="1"/>
    <col min="9989" max="9989" width="14" style="110" bestFit="1" customWidth="1"/>
    <col min="9990" max="9990" width="11" style="110" bestFit="1" customWidth="1"/>
    <col min="9991" max="9991" width="10" style="110" bestFit="1" customWidth="1"/>
    <col min="9992" max="9992" width="13.5546875" style="110" bestFit="1" customWidth="1"/>
    <col min="9993" max="9993" width="16.88671875" style="110" bestFit="1" customWidth="1"/>
    <col min="9994" max="9994" width="14" style="110" bestFit="1" customWidth="1"/>
    <col min="9995" max="10240" width="11.44140625" style="110"/>
    <col min="10241" max="10241" width="3" style="110" bestFit="1" customWidth="1"/>
    <col min="10242" max="10242" width="19" style="110" customWidth="1"/>
    <col min="10243" max="10243" width="16" style="110" bestFit="1" customWidth="1"/>
    <col min="10244" max="10244" width="5.6640625" style="110" bestFit="1" customWidth="1"/>
    <col min="10245" max="10245" width="14" style="110" bestFit="1" customWidth="1"/>
    <col min="10246" max="10246" width="11" style="110" bestFit="1" customWidth="1"/>
    <col min="10247" max="10247" width="10" style="110" bestFit="1" customWidth="1"/>
    <col min="10248" max="10248" width="13.5546875" style="110" bestFit="1" customWidth="1"/>
    <col min="10249" max="10249" width="16.88671875" style="110" bestFit="1" customWidth="1"/>
    <col min="10250" max="10250" width="14" style="110" bestFit="1" customWidth="1"/>
    <col min="10251" max="10496" width="11.44140625" style="110"/>
    <col min="10497" max="10497" width="3" style="110" bestFit="1" customWidth="1"/>
    <col min="10498" max="10498" width="19" style="110" customWidth="1"/>
    <col min="10499" max="10499" width="16" style="110" bestFit="1" customWidth="1"/>
    <col min="10500" max="10500" width="5.6640625" style="110" bestFit="1" customWidth="1"/>
    <col min="10501" max="10501" width="14" style="110" bestFit="1" customWidth="1"/>
    <col min="10502" max="10502" width="11" style="110" bestFit="1" customWidth="1"/>
    <col min="10503" max="10503" width="10" style="110" bestFit="1" customWidth="1"/>
    <col min="10504" max="10504" width="13.5546875" style="110" bestFit="1" customWidth="1"/>
    <col min="10505" max="10505" width="16.88671875" style="110" bestFit="1" customWidth="1"/>
    <col min="10506" max="10506" width="14" style="110" bestFit="1" customWidth="1"/>
    <col min="10507" max="10752" width="11.44140625" style="110"/>
    <col min="10753" max="10753" width="3" style="110" bestFit="1" customWidth="1"/>
    <col min="10754" max="10754" width="19" style="110" customWidth="1"/>
    <col min="10755" max="10755" width="16" style="110" bestFit="1" customWidth="1"/>
    <col min="10756" max="10756" width="5.6640625" style="110" bestFit="1" customWidth="1"/>
    <col min="10757" max="10757" width="14" style="110" bestFit="1" customWidth="1"/>
    <col min="10758" max="10758" width="11" style="110" bestFit="1" customWidth="1"/>
    <col min="10759" max="10759" width="10" style="110" bestFit="1" customWidth="1"/>
    <col min="10760" max="10760" width="13.5546875" style="110" bestFit="1" customWidth="1"/>
    <col min="10761" max="10761" width="16.88671875" style="110" bestFit="1" customWidth="1"/>
    <col min="10762" max="10762" width="14" style="110" bestFit="1" customWidth="1"/>
    <col min="10763" max="11008" width="11.44140625" style="110"/>
    <col min="11009" max="11009" width="3" style="110" bestFit="1" customWidth="1"/>
    <col min="11010" max="11010" width="19" style="110" customWidth="1"/>
    <col min="11011" max="11011" width="16" style="110" bestFit="1" customWidth="1"/>
    <col min="11012" max="11012" width="5.6640625" style="110" bestFit="1" customWidth="1"/>
    <col min="11013" max="11013" width="14" style="110" bestFit="1" customWidth="1"/>
    <col min="11014" max="11014" width="11" style="110" bestFit="1" customWidth="1"/>
    <col min="11015" max="11015" width="10" style="110" bestFit="1" customWidth="1"/>
    <col min="11016" max="11016" width="13.5546875" style="110" bestFit="1" customWidth="1"/>
    <col min="11017" max="11017" width="16.88671875" style="110" bestFit="1" customWidth="1"/>
    <col min="11018" max="11018" width="14" style="110" bestFit="1" customWidth="1"/>
    <col min="11019" max="11264" width="11.44140625" style="110"/>
    <col min="11265" max="11265" width="3" style="110" bestFit="1" customWidth="1"/>
    <col min="11266" max="11266" width="19" style="110" customWidth="1"/>
    <col min="11267" max="11267" width="16" style="110" bestFit="1" customWidth="1"/>
    <col min="11268" max="11268" width="5.6640625" style="110" bestFit="1" customWidth="1"/>
    <col min="11269" max="11269" width="14" style="110" bestFit="1" customWidth="1"/>
    <col min="11270" max="11270" width="11" style="110" bestFit="1" customWidth="1"/>
    <col min="11271" max="11271" width="10" style="110" bestFit="1" customWidth="1"/>
    <col min="11272" max="11272" width="13.5546875" style="110" bestFit="1" customWidth="1"/>
    <col min="11273" max="11273" width="16.88671875" style="110" bestFit="1" customWidth="1"/>
    <col min="11274" max="11274" width="14" style="110" bestFit="1" customWidth="1"/>
    <col min="11275" max="11520" width="11.44140625" style="110"/>
    <col min="11521" max="11521" width="3" style="110" bestFit="1" customWidth="1"/>
    <col min="11522" max="11522" width="19" style="110" customWidth="1"/>
    <col min="11523" max="11523" width="16" style="110" bestFit="1" customWidth="1"/>
    <col min="11524" max="11524" width="5.6640625" style="110" bestFit="1" customWidth="1"/>
    <col min="11525" max="11525" width="14" style="110" bestFit="1" customWidth="1"/>
    <col min="11526" max="11526" width="11" style="110" bestFit="1" customWidth="1"/>
    <col min="11527" max="11527" width="10" style="110" bestFit="1" customWidth="1"/>
    <col min="11528" max="11528" width="13.5546875" style="110" bestFit="1" customWidth="1"/>
    <col min="11529" max="11529" width="16.88671875" style="110" bestFit="1" customWidth="1"/>
    <col min="11530" max="11530" width="14" style="110" bestFit="1" customWidth="1"/>
    <col min="11531" max="11776" width="11.44140625" style="110"/>
    <col min="11777" max="11777" width="3" style="110" bestFit="1" customWidth="1"/>
    <col min="11778" max="11778" width="19" style="110" customWidth="1"/>
    <col min="11779" max="11779" width="16" style="110" bestFit="1" customWidth="1"/>
    <col min="11780" max="11780" width="5.6640625" style="110" bestFit="1" customWidth="1"/>
    <col min="11781" max="11781" width="14" style="110" bestFit="1" customWidth="1"/>
    <col min="11782" max="11782" width="11" style="110" bestFit="1" customWidth="1"/>
    <col min="11783" max="11783" width="10" style="110" bestFit="1" customWidth="1"/>
    <col min="11784" max="11784" width="13.5546875" style="110" bestFit="1" customWidth="1"/>
    <col min="11785" max="11785" width="16.88671875" style="110" bestFit="1" customWidth="1"/>
    <col min="11786" max="11786" width="14" style="110" bestFit="1" customWidth="1"/>
    <col min="11787" max="12032" width="11.44140625" style="110"/>
    <col min="12033" max="12033" width="3" style="110" bestFit="1" customWidth="1"/>
    <col min="12034" max="12034" width="19" style="110" customWidth="1"/>
    <col min="12035" max="12035" width="16" style="110" bestFit="1" customWidth="1"/>
    <col min="12036" max="12036" width="5.6640625" style="110" bestFit="1" customWidth="1"/>
    <col min="12037" max="12037" width="14" style="110" bestFit="1" customWidth="1"/>
    <col min="12038" max="12038" width="11" style="110" bestFit="1" customWidth="1"/>
    <col min="12039" max="12039" width="10" style="110" bestFit="1" customWidth="1"/>
    <col min="12040" max="12040" width="13.5546875" style="110" bestFit="1" customWidth="1"/>
    <col min="12041" max="12041" width="16.88671875" style="110" bestFit="1" customWidth="1"/>
    <col min="12042" max="12042" width="14" style="110" bestFit="1" customWidth="1"/>
    <col min="12043" max="12288" width="11.44140625" style="110"/>
    <col min="12289" max="12289" width="3" style="110" bestFit="1" customWidth="1"/>
    <col min="12290" max="12290" width="19" style="110" customWidth="1"/>
    <col min="12291" max="12291" width="16" style="110" bestFit="1" customWidth="1"/>
    <col min="12292" max="12292" width="5.6640625" style="110" bestFit="1" customWidth="1"/>
    <col min="12293" max="12293" width="14" style="110" bestFit="1" customWidth="1"/>
    <col min="12294" max="12294" width="11" style="110" bestFit="1" customWidth="1"/>
    <col min="12295" max="12295" width="10" style="110" bestFit="1" customWidth="1"/>
    <col min="12296" max="12296" width="13.5546875" style="110" bestFit="1" customWidth="1"/>
    <col min="12297" max="12297" width="16.88671875" style="110" bestFit="1" customWidth="1"/>
    <col min="12298" max="12298" width="14" style="110" bestFit="1" customWidth="1"/>
    <col min="12299" max="12544" width="11.44140625" style="110"/>
    <col min="12545" max="12545" width="3" style="110" bestFit="1" customWidth="1"/>
    <col min="12546" max="12546" width="19" style="110" customWidth="1"/>
    <col min="12547" max="12547" width="16" style="110" bestFit="1" customWidth="1"/>
    <col min="12548" max="12548" width="5.6640625" style="110" bestFit="1" customWidth="1"/>
    <col min="12549" max="12549" width="14" style="110" bestFit="1" customWidth="1"/>
    <col min="12550" max="12550" width="11" style="110" bestFit="1" customWidth="1"/>
    <col min="12551" max="12551" width="10" style="110" bestFit="1" customWidth="1"/>
    <col min="12552" max="12552" width="13.5546875" style="110" bestFit="1" customWidth="1"/>
    <col min="12553" max="12553" width="16.88671875" style="110" bestFit="1" customWidth="1"/>
    <col min="12554" max="12554" width="14" style="110" bestFit="1" customWidth="1"/>
    <col min="12555" max="12800" width="11.44140625" style="110"/>
    <col min="12801" max="12801" width="3" style="110" bestFit="1" customWidth="1"/>
    <col min="12802" max="12802" width="19" style="110" customWidth="1"/>
    <col min="12803" max="12803" width="16" style="110" bestFit="1" customWidth="1"/>
    <col min="12804" max="12804" width="5.6640625" style="110" bestFit="1" customWidth="1"/>
    <col min="12805" max="12805" width="14" style="110" bestFit="1" customWidth="1"/>
    <col min="12806" max="12806" width="11" style="110" bestFit="1" customWidth="1"/>
    <col min="12807" max="12807" width="10" style="110" bestFit="1" customWidth="1"/>
    <col min="12808" max="12808" width="13.5546875" style="110" bestFit="1" customWidth="1"/>
    <col min="12809" max="12809" width="16.88671875" style="110" bestFit="1" customWidth="1"/>
    <col min="12810" max="12810" width="14" style="110" bestFit="1" customWidth="1"/>
    <col min="12811" max="13056" width="11.44140625" style="110"/>
    <col min="13057" max="13057" width="3" style="110" bestFit="1" customWidth="1"/>
    <col min="13058" max="13058" width="19" style="110" customWidth="1"/>
    <col min="13059" max="13059" width="16" style="110" bestFit="1" customWidth="1"/>
    <col min="13060" max="13060" width="5.6640625" style="110" bestFit="1" customWidth="1"/>
    <col min="13061" max="13061" width="14" style="110" bestFit="1" customWidth="1"/>
    <col min="13062" max="13062" width="11" style="110" bestFit="1" customWidth="1"/>
    <col min="13063" max="13063" width="10" style="110" bestFit="1" customWidth="1"/>
    <col min="13064" max="13064" width="13.5546875" style="110" bestFit="1" customWidth="1"/>
    <col min="13065" max="13065" width="16.88671875" style="110" bestFit="1" customWidth="1"/>
    <col min="13066" max="13066" width="14" style="110" bestFit="1" customWidth="1"/>
    <col min="13067" max="13312" width="11.44140625" style="110"/>
    <col min="13313" max="13313" width="3" style="110" bestFit="1" customWidth="1"/>
    <col min="13314" max="13314" width="19" style="110" customWidth="1"/>
    <col min="13315" max="13315" width="16" style="110" bestFit="1" customWidth="1"/>
    <col min="13316" max="13316" width="5.6640625" style="110" bestFit="1" customWidth="1"/>
    <col min="13317" max="13317" width="14" style="110" bestFit="1" customWidth="1"/>
    <col min="13318" max="13318" width="11" style="110" bestFit="1" customWidth="1"/>
    <col min="13319" max="13319" width="10" style="110" bestFit="1" customWidth="1"/>
    <col min="13320" max="13320" width="13.5546875" style="110" bestFit="1" customWidth="1"/>
    <col min="13321" max="13321" width="16.88671875" style="110" bestFit="1" customWidth="1"/>
    <col min="13322" max="13322" width="14" style="110" bestFit="1" customWidth="1"/>
    <col min="13323" max="13568" width="11.44140625" style="110"/>
    <col min="13569" max="13569" width="3" style="110" bestFit="1" customWidth="1"/>
    <col min="13570" max="13570" width="19" style="110" customWidth="1"/>
    <col min="13571" max="13571" width="16" style="110" bestFit="1" customWidth="1"/>
    <col min="13572" max="13572" width="5.6640625" style="110" bestFit="1" customWidth="1"/>
    <col min="13573" max="13573" width="14" style="110" bestFit="1" customWidth="1"/>
    <col min="13574" max="13574" width="11" style="110" bestFit="1" customWidth="1"/>
    <col min="13575" max="13575" width="10" style="110" bestFit="1" customWidth="1"/>
    <col min="13576" max="13576" width="13.5546875" style="110" bestFit="1" customWidth="1"/>
    <col min="13577" max="13577" width="16.88671875" style="110" bestFit="1" customWidth="1"/>
    <col min="13578" max="13578" width="14" style="110" bestFit="1" customWidth="1"/>
    <col min="13579" max="13824" width="11.44140625" style="110"/>
    <col min="13825" max="13825" width="3" style="110" bestFit="1" customWidth="1"/>
    <col min="13826" max="13826" width="19" style="110" customWidth="1"/>
    <col min="13827" max="13827" width="16" style="110" bestFit="1" customWidth="1"/>
    <col min="13828" max="13828" width="5.6640625" style="110" bestFit="1" customWidth="1"/>
    <col min="13829" max="13829" width="14" style="110" bestFit="1" customWidth="1"/>
    <col min="13830" max="13830" width="11" style="110" bestFit="1" customWidth="1"/>
    <col min="13831" max="13831" width="10" style="110" bestFit="1" customWidth="1"/>
    <col min="13832" max="13832" width="13.5546875" style="110" bestFit="1" customWidth="1"/>
    <col min="13833" max="13833" width="16.88671875" style="110" bestFit="1" customWidth="1"/>
    <col min="13834" max="13834" width="14" style="110" bestFit="1" customWidth="1"/>
    <col min="13835" max="14080" width="11.44140625" style="110"/>
    <col min="14081" max="14081" width="3" style="110" bestFit="1" customWidth="1"/>
    <col min="14082" max="14082" width="19" style="110" customWidth="1"/>
    <col min="14083" max="14083" width="16" style="110" bestFit="1" customWidth="1"/>
    <col min="14084" max="14084" width="5.6640625" style="110" bestFit="1" customWidth="1"/>
    <col min="14085" max="14085" width="14" style="110" bestFit="1" customWidth="1"/>
    <col min="14086" max="14086" width="11" style="110" bestFit="1" customWidth="1"/>
    <col min="14087" max="14087" width="10" style="110" bestFit="1" customWidth="1"/>
    <col min="14088" max="14088" width="13.5546875" style="110" bestFit="1" customWidth="1"/>
    <col min="14089" max="14089" width="16.88671875" style="110" bestFit="1" customWidth="1"/>
    <col min="14090" max="14090" width="14" style="110" bestFit="1" customWidth="1"/>
    <col min="14091" max="14336" width="11.44140625" style="110"/>
    <col min="14337" max="14337" width="3" style="110" bestFit="1" customWidth="1"/>
    <col min="14338" max="14338" width="19" style="110" customWidth="1"/>
    <col min="14339" max="14339" width="16" style="110" bestFit="1" customWidth="1"/>
    <col min="14340" max="14340" width="5.6640625" style="110" bestFit="1" customWidth="1"/>
    <col min="14341" max="14341" width="14" style="110" bestFit="1" customWidth="1"/>
    <col min="14342" max="14342" width="11" style="110" bestFit="1" customWidth="1"/>
    <col min="14343" max="14343" width="10" style="110" bestFit="1" customWidth="1"/>
    <col min="14344" max="14344" width="13.5546875" style="110" bestFit="1" customWidth="1"/>
    <col min="14345" max="14345" width="16.88671875" style="110" bestFit="1" customWidth="1"/>
    <col min="14346" max="14346" width="14" style="110" bestFit="1" customWidth="1"/>
    <col min="14347" max="14592" width="11.44140625" style="110"/>
    <col min="14593" max="14593" width="3" style="110" bestFit="1" customWidth="1"/>
    <col min="14594" max="14594" width="19" style="110" customWidth="1"/>
    <col min="14595" max="14595" width="16" style="110" bestFit="1" customWidth="1"/>
    <col min="14596" max="14596" width="5.6640625" style="110" bestFit="1" customWidth="1"/>
    <col min="14597" max="14597" width="14" style="110" bestFit="1" customWidth="1"/>
    <col min="14598" max="14598" width="11" style="110" bestFit="1" customWidth="1"/>
    <col min="14599" max="14599" width="10" style="110" bestFit="1" customWidth="1"/>
    <col min="14600" max="14600" width="13.5546875" style="110" bestFit="1" customWidth="1"/>
    <col min="14601" max="14601" width="16.88671875" style="110" bestFit="1" customWidth="1"/>
    <col min="14602" max="14602" width="14" style="110" bestFit="1" customWidth="1"/>
    <col min="14603" max="14848" width="11.44140625" style="110"/>
    <col min="14849" max="14849" width="3" style="110" bestFit="1" customWidth="1"/>
    <col min="14850" max="14850" width="19" style="110" customWidth="1"/>
    <col min="14851" max="14851" width="16" style="110" bestFit="1" customWidth="1"/>
    <col min="14852" max="14852" width="5.6640625" style="110" bestFit="1" customWidth="1"/>
    <col min="14853" max="14853" width="14" style="110" bestFit="1" customWidth="1"/>
    <col min="14854" max="14854" width="11" style="110" bestFit="1" customWidth="1"/>
    <col min="14855" max="14855" width="10" style="110" bestFit="1" customWidth="1"/>
    <col min="14856" max="14856" width="13.5546875" style="110" bestFit="1" customWidth="1"/>
    <col min="14857" max="14857" width="16.88671875" style="110" bestFit="1" customWidth="1"/>
    <col min="14858" max="14858" width="14" style="110" bestFit="1" customWidth="1"/>
    <col min="14859" max="15104" width="11.44140625" style="110"/>
    <col min="15105" max="15105" width="3" style="110" bestFit="1" customWidth="1"/>
    <col min="15106" max="15106" width="19" style="110" customWidth="1"/>
    <col min="15107" max="15107" width="16" style="110" bestFit="1" customWidth="1"/>
    <col min="15108" max="15108" width="5.6640625" style="110" bestFit="1" customWidth="1"/>
    <col min="15109" max="15109" width="14" style="110" bestFit="1" customWidth="1"/>
    <col min="15110" max="15110" width="11" style="110" bestFit="1" customWidth="1"/>
    <col min="15111" max="15111" width="10" style="110" bestFit="1" customWidth="1"/>
    <col min="15112" max="15112" width="13.5546875" style="110" bestFit="1" customWidth="1"/>
    <col min="15113" max="15113" width="16.88671875" style="110" bestFit="1" customWidth="1"/>
    <col min="15114" max="15114" width="14" style="110" bestFit="1" customWidth="1"/>
    <col min="15115" max="15360" width="11.44140625" style="110"/>
    <col min="15361" max="15361" width="3" style="110" bestFit="1" customWidth="1"/>
    <col min="15362" max="15362" width="19" style="110" customWidth="1"/>
    <col min="15363" max="15363" width="16" style="110" bestFit="1" customWidth="1"/>
    <col min="15364" max="15364" width="5.6640625" style="110" bestFit="1" customWidth="1"/>
    <col min="15365" max="15365" width="14" style="110" bestFit="1" customWidth="1"/>
    <col min="15366" max="15366" width="11" style="110" bestFit="1" customWidth="1"/>
    <col min="15367" max="15367" width="10" style="110" bestFit="1" customWidth="1"/>
    <col min="15368" max="15368" width="13.5546875" style="110" bestFit="1" customWidth="1"/>
    <col min="15369" max="15369" width="16.88671875" style="110" bestFit="1" customWidth="1"/>
    <col min="15370" max="15370" width="14" style="110" bestFit="1" customWidth="1"/>
    <col min="15371" max="15616" width="11.44140625" style="110"/>
    <col min="15617" max="15617" width="3" style="110" bestFit="1" customWidth="1"/>
    <col min="15618" max="15618" width="19" style="110" customWidth="1"/>
    <col min="15619" max="15619" width="16" style="110" bestFit="1" customWidth="1"/>
    <col min="15620" max="15620" width="5.6640625" style="110" bestFit="1" customWidth="1"/>
    <col min="15621" max="15621" width="14" style="110" bestFit="1" customWidth="1"/>
    <col min="15622" max="15622" width="11" style="110" bestFit="1" customWidth="1"/>
    <col min="15623" max="15623" width="10" style="110" bestFit="1" customWidth="1"/>
    <col min="15624" max="15624" width="13.5546875" style="110" bestFit="1" customWidth="1"/>
    <col min="15625" max="15625" width="16.88671875" style="110" bestFit="1" customWidth="1"/>
    <col min="15626" max="15626" width="14" style="110" bestFit="1" customWidth="1"/>
    <col min="15627" max="15872" width="11.44140625" style="110"/>
    <col min="15873" max="15873" width="3" style="110" bestFit="1" customWidth="1"/>
    <col min="15874" max="15874" width="19" style="110" customWidth="1"/>
    <col min="15875" max="15875" width="16" style="110" bestFit="1" customWidth="1"/>
    <col min="15876" max="15876" width="5.6640625" style="110" bestFit="1" customWidth="1"/>
    <col min="15877" max="15877" width="14" style="110" bestFit="1" customWidth="1"/>
    <col min="15878" max="15878" width="11" style="110" bestFit="1" customWidth="1"/>
    <col min="15879" max="15879" width="10" style="110" bestFit="1" customWidth="1"/>
    <col min="15880" max="15880" width="13.5546875" style="110" bestFit="1" customWidth="1"/>
    <col min="15881" max="15881" width="16.88671875" style="110" bestFit="1" customWidth="1"/>
    <col min="15882" max="15882" width="14" style="110" bestFit="1" customWidth="1"/>
    <col min="15883" max="16128" width="11.44140625" style="110"/>
    <col min="16129" max="16129" width="3" style="110" bestFit="1" customWidth="1"/>
    <col min="16130" max="16130" width="19" style="110" customWidth="1"/>
    <col min="16131" max="16131" width="16" style="110" bestFit="1" customWidth="1"/>
    <col min="16132" max="16132" width="5.6640625" style="110" bestFit="1" customWidth="1"/>
    <col min="16133" max="16133" width="14" style="110" bestFit="1" customWidth="1"/>
    <col min="16134" max="16134" width="11" style="110" bestFit="1" customWidth="1"/>
    <col min="16135" max="16135" width="10" style="110" bestFit="1" customWidth="1"/>
    <col min="16136" max="16136" width="13.5546875" style="110" bestFit="1" customWidth="1"/>
    <col min="16137" max="16137" width="16.88671875" style="110" bestFit="1" customWidth="1"/>
    <col min="16138" max="16138" width="14" style="110" bestFit="1" customWidth="1"/>
    <col min="16139" max="16384" width="11.44140625" style="110"/>
  </cols>
  <sheetData>
    <row r="1" spans="1:11" ht="6" customHeight="1" x14ac:dyDescent="0.3"/>
    <row r="2" spans="1:11" x14ac:dyDescent="0.3">
      <c r="B2" s="111" t="s">
        <v>94</v>
      </c>
      <c r="C2" s="755" t="s">
        <v>95</v>
      </c>
      <c r="D2" s="756"/>
    </row>
    <row r="3" spans="1:11" x14ac:dyDescent="0.3">
      <c r="B3" s="112" t="s">
        <v>96</v>
      </c>
      <c r="C3" s="113"/>
      <c r="D3" s="114" t="s">
        <v>97</v>
      </c>
      <c r="H3" s="115" t="s">
        <v>98</v>
      </c>
    </row>
    <row r="4" spans="1:11" x14ac:dyDescent="0.3">
      <c r="B4" s="116" t="s">
        <v>99</v>
      </c>
      <c r="C4" s="117"/>
      <c r="D4" s="118" t="s">
        <v>97</v>
      </c>
      <c r="E4" s="119">
        <f>+'PTO TARIFA HUACHIPA'!H197</f>
        <v>0</v>
      </c>
      <c r="H4" s="120" t="s">
        <v>100</v>
      </c>
    </row>
    <row r="5" spans="1:11" x14ac:dyDescent="0.3">
      <c r="B5" s="116" t="s">
        <v>101</v>
      </c>
      <c r="C5" s="121">
        <v>1850000</v>
      </c>
      <c r="D5" s="118" t="s">
        <v>97</v>
      </c>
      <c r="E5" s="605">
        <f>E4/1.18</f>
        <v>0</v>
      </c>
      <c r="H5" s="122" t="s">
        <v>102</v>
      </c>
    </row>
    <row r="6" spans="1:11" x14ac:dyDescent="0.3">
      <c r="B6" s="123" t="s">
        <v>137</v>
      </c>
      <c r="C6" s="124">
        <f>300+60+30</f>
        <v>390</v>
      </c>
      <c r="D6" s="125" t="s">
        <v>103</v>
      </c>
    </row>
    <row r="7" spans="1:11" ht="7.5" customHeight="1" x14ac:dyDescent="0.3"/>
    <row r="8" spans="1:11" s="129" customFormat="1" ht="18" x14ac:dyDescent="0.3">
      <c r="A8" s="126" t="s">
        <v>104</v>
      </c>
      <c r="B8" s="127" t="s">
        <v>105</v>
      </c>
      <c r="C8" s="128"/>
      <c r="D8" s="128"/>
      <c r="I8" s="110"/>
    </row>
    <row r="9" spans="1:11" x14ac:dyDescent="0.3">
      <c r="B9" s="752" t="s">
        <v>106</v>
      </c>
      <c r="C9" s="130" t="s">
        <v>107</v>
      </c>
      <c r="D9" s="130" t="s">
        <v>108</v>
      </c>
      <c r="E9" s="130" t="s">
        <v>109</v>
      </c>
      <c r="F9" s="130" t="s">
        <v>110</v>
      </c>
      <c r="G9" s="130" t="s">
        <v>111</v>
      </c>
      <c r="H9" s="131" t="s">
        <v>112</v>
      </c>
    </row>
    <row r="10" spans="1:11" ht="14.4" x14ac:dyDescent="0.3">
      <c r="B10" s="752"/>
      <c r="C10" s="132">
        <v>0.1</v>
      </c>
      <c r="D10" s="133" t="s">
        <v>9</v>
      </c>
      <c r="E10" s="133" t="s">
        <v>9</v>
      </c>
      <c r="F10" s="133" t="s">
        <v>113</v>
      </c>
      <c r="G10" s="133" t="s">
        <v>113</v>
      </c>
      <c r="H10" s="134" t="s">
        <v>114</v>
      </c>
    </row>
    <row r="11" spans="1:11" s="135" customFormat="1" ht="27.6" x14ac:dyDescent="0.25">
      <c r="B11" s="136" t="s">
        <v>115</v>
      </c>
      <c r="C11" s="137">
        <f>+C10*C5</f>
        <v>185000</v>
      </c>
      <c r="D11" s="138">
        <v>4.4999999999999998E-2</v>
      </c>
      <c r="E11" s="139">
        <f>+D11/360</f>
        <v>1.25E-4</v>
      </c>
      <c r="F11" s="137">
        <f>+C6</f>
        <v>390</v>
      </c>
      <c r="G11" s="140">
        <v>90</v>
      </c>
      <c r="H11" s="141">
        <f>+C11*E11*(F11+G11)-59.704528</f>
        <v>11040.295472</v>
      </c>
      <c r="I11" s="142" t="s">
        <v>116</v>
      </c>
      <c r="J11" s="566">
        <f>+'PTO TARIFA HUACHIPA'!K217</f>
        <v>-22029.045471999998</v>
      </c>
    </row>
    <row r="12" spans="1:11" x14ac:dyDescent="0.3">
      <c r="J12" s="135"/>
    </row>
    <row r="13" spans="1:11" s="129" customFormat="1" ht="18" x14ac:dyDescent="0.25">
      <c r="A13" s="126" t="s">
        <v>104</v>
      </c>
      <c r="B13" s="127" t="s">
        <v>117</v>
      </c>
      <c r="C13" s="128"/>
      <c r="D13" s="128"/>
      <c r="J13" s="135"/>
    </row>
    <row r="14" spans="1:11" x14ac:dyDescent="0.3">
      <c r="B14" s="752" t="s">
        <v>106</v>
      </c>
      <c r="C14" s="130" t="s">
        <v>107</v>
      </c>
      <c r="D14" s="130" t="s">
        <v>108</v>
      </c>
      <c r="E14" s="130" t="s">
        <v>109</v>
      </c>
      <c r="F14" s="130" t="s">
        <v>118</v>
      </c>
      <c r="G14" s="130" t="s">
        <v>119</v>
      </c>
      <c r="H14" s="143" t="s">
        <v>120</v>
      </c>
      <c r="I14" s="131" t="s">
        <v>121</v>
      </c>
      <c r="J14" s="135"/>
    </row>
    <row r="15" spans="1:11" ht="14.4" x14ac:dyDescent="0.3">
      <c r="B15" s="752"/>
      <c r="C15" s="132">
        <v>0.1</v>
      </c>
      <c r="D15" s="133" t="s">
        <v>9</v>
      </c>
      <c r="E15" s="133" t="s">
        <v>9</v>
      </c>
      <c r="F15" s="133" t="s">
        <v>9</v>
      </c>
      <c r="G15" s="133" t="s">
        <v>9</v>
      </c>
      <c r="H15" s="144" t="s">
        <v>122</v>
      </c>
      <c r="I15" s="134" t="s">
        <v>123</v>
      </c>
      <c r="J15" s="135"/>
    </row>
    <row r="16" spans="1:11" ht="27.6" x14ac:dyDescent="0.3">
      <c r="B16" s="136" t="s">
        <v>124</v>
      </c>
      <c r="C16" s="137">
        <f>+$C$15*$C$5</f>
        <v>185000</v>
      </c>
      <c r="D16" s="138">
        <v>4.4999999999999998E-2</v>
      </c>
      <c r="E16" s="139">
        <f t="shared" ref="E16:E21" si="0">+D16/360</f>
        <v>1.25E-4</v>
      </c>
      <c r="F16" s="145">
        <v>1</v>
      </c>
      <c r="G16" s="146">
        <v>0.2</v>
      </c>
      <c r="H16" s="147">
        <v>90</v>
      </c>
      <c r="I16" s="141">
        <f>+C16*E16*F16*H16</f>
        <v>2081.25</v>
      </c>
      <c r="J16" s="142" t="s">
        <v>125</v>
      </c>
      <c r="K16" s="148"/>
    </row>
    <row r="17" spans="1:11" ht="27.6" x14ac:dyDescent="0.3">
      <c r="B17" s="136" t="s">
        <v>124</v>
      </c>
      <c r="C17" s="137">
        <f t="shared" ref="C17:D21" si="1">+C16</f>
        <v>185000</v>
      </c>
      <c r="D17" s="138">
        <f t="shared" si="1"/>
        <v>4.4999999999999998E-2</v>
      </c>
      <c r="E17" s="139">
        <f t="shared" si="0"/>
        <v>1.25E-4</v>
      </c>
      <c r="F17" s="145">
        <f>+F16-G16</f>
        <v>0.8</v>
      </c>
      <c r="G17" s="146">
        <v>0.2</v>
      </c>
      <c r="H17" s="147">
        <v>90</v>
      </c>
      <c r="I17" s="137">
        <f t="shared" ref="I17:I21" si="2">+C17*E17*F17*H17</f>
        <v>1665</v>
      </c>
      <c r="J17" s="135"/>
      <c r="K17" s="149"/>
    </row>
    <row r="18" spans="1:11" ht="27.6" x14ac:dyDescent="0.3">
      <c r="B18" s="136" t="s">
        <v>124</v>
      </c>
      <c r="C18" s="137">
        <f t="shared" si="1"/>
        <v>185000</v>
      </c>
      <c r="D18" s="138">
        <f t="shared" si="1"/>
        <v>4.4999999999999998E-2</v>
      </c>
      <c r="E18" s="139">
        <f t="shared" si="0"/>
        <v>1.25E-4</v>
      </c>
      <c r="F18" s="145">
        <f>+F17-G17</f>
        <v>0.60000000000000009</v>
      </c>
      <c r="G18" s="146">
        <v>0.3</v>
      </c>
      <c r="H18" s="147">
        <v>90</v>
      </c>
      <c r="I18" s="137">
        <f t="shared" si="2"/>
        <v>1248.7500000000002</v>
      </c>
      <c r="J18" s="135"/>
      <c r="K18" s="148"/>
    </row>
    <row r="19" spans="1:11" ht="27.6" x14ac:dyDescent="0.3">
      <c r="B19" s="136" t="s">
        <v>124</v>
      </c>
      <c r="C19" s="137">
        <f t="shared" ref="C19" si="3">+C18</f>
        <v>185000</v>
      </c>
      <c r="D19" s="138">
        <f t="shared" si="1"/>
        <v>4.4999999999999998E-2</v>
      </c>
      <c r="E19" s="139">
        <f t="shared" si="0"/>
        <v>1.25E-4</v>
      </c>
      <c r="F19" s="145">
        <f>+F18-G18</f>
        <v>0.3000000000000001</v>
      </c>
      <c r="G19" s="146">
        <v>0.2</v>
      </c>
      <c r="H19" s="147">
        <v>90</v>
      </c>
      <c r="I19" s="137">
        <f t="shared" si="2"/>
        <v>624.37500000000023</v>
      </c>
      <c r="J19" s="135"/>
      <c r="K19" s="148"/>
    </row>
    <row r="20" spans="1:11" ht="27.6" x14ac:dyDescent="0.3">
      <c r="B20" s="136" t="s">
        <v>124</v>
      </c>
      <c r="C20" s="137">
        <f t="shared" ref="C20" si="4">+C19</f>
        <v>185000</v>
      </c>
      <c r="D20" s="138">
        <f t="shared" si="1"/>
        <v>4.4999999999999998E-2</v>
      </c>
      <c r="E20" s="139">
        <f t="shared" si="0"/>
        <v>1.25E-4</v>
      </c>
      <c r="F20" s="145">
        <f>+F19-G19</f>
        <v>0.10000000000000009</v>
      </c>
      <c r="G20" s="146">
        <v>0.1</v>
      </c>
      <c r="H20" s="147">
        <v>30</v>
      </c>
      <c r="I20" s="137">
        <f t="shared" si="2"/>
        <v>69.375000000000071</v>
      </c>
      <c r="J20" s="135"/>
      <c r="K20" s="148"/>
    </row>
    <row r="21" spans="1:11" ht="27.6" x14ac:dyDescent="0.3">
      <c r="B21" s="136" t="s">
        <v>124</v>
      </c>
      <c r="C21" s="137">
        <f t="shared" si="1"/>
        <v>185000</v>
      </c>
      <c r="D21" s="138">
        <f t="shared" si="1"/>
        <v>4.4999999999999998E-2</v>
      </c>
      <c r="E21" s="139">
        <f t="shared" si="0"/>
        <v>1.25E-4</v>
      </c>
      <c r="F21" s="145">
        <f>+F20-G20</f>
        <v>0</v>
      </c>
      <c r="G21" s="146">
        <v>0</v>
      </c>
      <c r="H21" s="147"/>
      <c r="I21" s="137">
        <f t="shared" si="2"/>
        <v>0</v>
      </c>
      <c r="J21" s="135"/>
      <c r="K21" s="148"/>
    </row>
    <row r="22" spans="1:11" x14ac:dyDescent="0.3">
      <c r="H22" s="150" t="str">
        <f>IF(SUM(H16:H21)-$C$6=0,"OK","NO CUADRA")</f>
        <v>OK</v>
      </c>
      <c r="I22" s="141">
        <f>SUM(I17:I20)</f>
        <v>3607.5</v>
      </c>
      <c r="J22" s="142" t="s">
        <v>126</v>
      </c>
      <c r="K22" s="148"/>
    </row>
    <row r="23" spans="1:11" s="135" customFormat="1" ht="18" x14ac:dyDescent="0.25">
      <c r="A23" s="126" t="s">
        <v>104</v>
      </c>
      <c r="B23" s="151" t="s">
        <v>127</v>
      </c>
      <c r="C23" s="152"/>
      <c r="D23" s="152"/>
      <c r="H23" s="153">
        <f>SUM(H16:H21)</f>
        <v>390</v>
      </c>
    </row>
    <row r="24" spans="1:11" x14ac:dyDescent="0.3">
      <c r="B24" s="752" t="s">
        <v>106</v>
      </c>
      <c r="C24" s="130" t="s">
        <v>107</v>
      </c>
      <c r="D24" s="130" t="s">
        <v>108</v>
      </c>
      <c r="E24" s="130" t="s">
        <v>109</v>
      </c>
      <c r="F24" s="130" t="s">
        <v>118</v>
      </c>
      <c r="G24" s="130" t="s">
        <v>119</v>
      </c>
      <c r="H24" s="130" t="s">
        <v>120</v>
      </c>
      <c r="I24" s="131" t="s">
        <v>121</v>
      </c>
      <c r="J24" s="135"/>
    </row>
    <row r="25" spans="1:11" ht="14.4" x14ac:dyDescent="0.3">
      <c r="B25" s="752"/>
      <c r="C25" s="132">
        <v>0</v>
      </c>
      <c r="D25" s="133" t="s">
        <v>9</v>
      </c>
      <c r="E25" s="133" t="s">
        <v>9</v>
      </c>
      <c r="F25" s="133" t="s">
        <v>9</v>
      </c>
      <c r="G25" s="133" t="s">
        <v>9</v>
      </c>
      <c r="H25" s="133" t="s">
        <v>122</v>
      </c>
      <c r="I25" s="134" t="s">
        <v>123</v>
      </c>
      <c r="J25" s="135"/>
    </row>
    <row r="26" spans="1:11" ht="27.6" x14ac:dyDescent="0.3">
      <c r="B26" s="136" t="s">
        <v>128</v>
      </c>
      <c r="C26" s="137">
        <f>+$C$25*$C$5</f>
        <v>0</v>
      </c>
      <c r="D26" s="138">
        <v>4.4999999999999998E-2</v>
      </c>
      <c r="E26" s="139">
        <f t="shared" ref="E26:E29" si="5">+D26/360</f>
        <v>1.25E-4</v>
      </c>
      <c r="F26" s="145">
        <v>1</v>
      </c>
      <c r="G26" s="146">
        <v>0.4</v>
      </c>
      <c r="H26" s="147">
        <v>90</v>
      </c>
      <c r="I26" s="141">
        <f t="shared" ref="I26:I29" si="6">+C26*E26*F26*H26</f>
        <v>0</v>
      </c>
      <c r="J26" s="142" t="s">
        <v>125</v>
      </c>
      <c r="K26" s="148"/>
    </row>
    <row r="27" spans="1:11" ht="27.6" x14ac:dyDescent="0.3">
      <c r="B27" s="136" t="s">
        <v>128</v>
      </c>
      <c r="C27" s="137">
        <f>+C26</f>
        <v>0</v>
      </c>
      <c r="D27" s="138">
        <f>+D26</f>
        <v>4.4999999999999998E-2</v>
      </c>
      <c r="E27" s="139">
        <f t="shared" si="5"/>
        <v>1.25E-4</v>
      </c>
      <c r="F27" s="145">
        <f>+F26-G26</f>
        <v>0.6</v>
      </c>
      <c r="G27" s="146">
        <v>0.4</v>
      </c>
      <c r="H27" s="147">
        <v>90</v>
      </c>
      <c r="I27" s="137">
        <f t="shared" si="6"/>
        <v>0</v>
      </c>
      <c r="J27" s="135"/>
      <c r="K27" s="148"/>
    </row>
    <row r="28" spans="1:11" ht="27.6" x14ac:dyDescent="0.3">
      <c r="B28" s="136" t="s">
        <v>128</v>
      </c>
      <c r="C28" s="137">
        <f>+C27</f>
        <v>0</v>
      </c>
      <c r="D28" s="138">
        <f>+D26</f>
        <v>4.4999999999999998E-2</v>
      </c>
      <c r="E28" s="139">
        <f t="shared" si="5"/>
        <v>1.25E-4</v>
      </c>
      <c r="F28" s="145">
        <f>+F27-G27</f>
        <v>0.19999999999999996</v>
      </c>
      <c r="G28" s="146">
        <v>0</v>
      </c>
      <c r="H28" s="147">
        <v>30</v>
      </c>
      <c r="I28" s="137">
        <f t="shared" si="6"/>
        <v>0</v>
      </c>
      <c r="J28" s="135"/>
      <c r="K28" s="148"/>
    </row>
    <row r="29" spans="1:11" ht="27.6" x14ac:dyDescent="0.3">
      <c r="B29" s="136" t="s">
        <v>128</v>
      </c>
      <c r="C29" s="137">
        <f>+C26</f>
        <v>0</v>
      </c>
      <c r="D29" s="138">
        <f>+D26</f>
        <v>4.4999999999999998E-2</v>
      </c>
      <c r="E29" s="139">
        <f t="shared" si="5"/>
        <v>1.25E-4</v>
      </c>
      <c r="F29" s="145">
        <v>0</v>
      </c>
      <c r="G29" s="146">
        <v>0</v>
      </c>
      <c r="H29" s="147">
        <v>0</v>
      </c>
      <c r="I29" s="137">
        <f t="shared" si="6"/>
        <v>0</v>
      </c>
      <c r="J29" s="135"/>
      <c r="K29" s="148"/>
    </row>
    <row r="30" spans="1:11" x14ac:dyDescent="0.3">
      <c r="H30" s="150" t="str">
        <f>IF(SUM(H26:H29)-$C$6=0,"OK","NO CUADRA")</f>
        <v>NO CUADRA</v>
      </c>
      <c r="I30" s="141">
        <f>SUM(I27:I29)</f>
        <v>0</v>
      </c>
      <c r="J30" s="142" t="s">
        <v>126</v>
      </c>
      <c r="K30" s="148"/>
    </row>
    <row r="31" spans="1:11" s="129" customFormat="1" ht="18" x14ac:dyDescent="0.25">
      <c r="A31" s="126" t="s">
        <v>104</v>
      </c>
      <c r="B31" s="127" t="s">
        <v>129</v>
      </c>
      <c r="C31" s="128"/>
      <c r="D31" s="128"/>
      <c r="J31" s="142"/>
    </row>
    <row r="32" spans="1:11" x14ac:dyDescent="0.3">
      <c r="B32" s="752" t="s">
        <v>106</v>
      </c>
      <c r="C32" s="130" t="str">
        <f>+B5</f>
        <v>SUB TOTAL (sin IGV)</v>
      </c>
      <c r="D32" s="130" t="s">
        <v>108</v>
      </c>
      <c r="E32" s="130" t="s">
        <v>109</v>
      </c>
      <c r="F32" s="130" t="s">
        <v>110</v>
      </c>
      <c r="G32" s="131" t="s">
        <v>130</v>
      </c>
      <c r="H32" s="129"/>
      <c r="J32" s="135"/>
    </row>
    <row r="33" spans="1:8" x14ac:dyDescent="0.3">
      <c r="B33" s="752"/>
      <c r="C33" s="154"/>
      <c r="D33" s="133" t="s">
        <v>131</v>
      </c>
      <c r="E33" s="133"/>
      <c r="F33" s="133" t="s">
        <v>113</v>
      </c>
      <c r="G33" s="134" t="s">
        <v>123</v>
      </c>
      <c r="H33" s="129"/>
    </row>
    <row r="34" spans="1:8" ht="27.6" x14ac:dyDescent="0.3">
      <c r="B34" s="136" t="s">
        <v>132</v>
      </c>
      <c r="C34" s="137">
        <v>0</v>
      </c>
      <c r="D34" s="155">
        <v>3.0000000000000001E-3</v>
      </c>
      <c r="E34" s="156">
        <f>+D34/360</f>
        <v>8.3333333333333337E-6</v>
      </c>
      <c r="F34" s="137">
        <f>+$C$6</f>
        <v>390</v>
      </c>
      <c r="G34" s="141">
        <f>+C34*E34*F34</f>
        <v>0</v>
      </c>
      <c r="H34" s="142" t="s">
        <v>133</v>
      </c>
    </row>
    <row r="36" spans="1:8" s="129" customFormat="1" ht="18" x14ac:dyDescent="0.25">
      <c r="A36" s="126" t="s">
        <v>104</v>
      </c>
      <c r="B36" s="127" t="s">
        <v>134</v>
      </c>
      <c r="C36" s="128"/>
      <c r="D36" s="128"/>
    </row>
    <row r="37" spans="1:8" x14ac:dyDescent="0.3">
      <c r="B37" s="752" t="s">
        <v>106</v>
      </c>
      <c r="C37" s="753" t="s">
        <v>135</v>
      </c>
      <c r="D37" s="130" t="s">
        <v>108</v>
      </c>
      <c r="E37" s="131" t="s">
        <v>136</v>
      </c>
    </row>
    <row r="38" spans="1:8" x14ac:dyDescent="0.3">
      <c r="B38" s="752"/>
      <c r="C38" s="754"/>
      <c r="D38" s="133" t="s">
        <v>9</v>
      </c>
      <c r="E38" s="134" t="s">
        <v>123</v>
      </c>
    </row>
    <row r="39" spans="1:8" ht="17.25" customHeight="1" x14ac:dyDescent="0.3">
      <c r="B39" s="136" t="s">
        <v>136</v>
      </c>
      <c r="C39" s="147">
        <f>SUM('PTO TARIFA HUACHIPA'!H41+'PTO TARIFA HUACHIPA'!H80)</f>
        <v>0</v>
      </c>
      <c r="D39" s="157">
        <v>2.1999999999999999E-2</v>
      </c>
      <c r="E39" s="141">
        <f>+C39*D39</f>
        <v>0</v>
      </c>
      <c r="F39" s="142" t="s">
        <v>133</v>
      </c>
    </row>
  </sheetData>
  <mergeCells count="7">
    <mergeCell ref="B37:B38"/>
    <mergeCell ref="C37:C38"/>
    <mergeCell ref="C2:D2"/>
    <mergeCell ref="B9:B10"/>
    <mergeCell ref="B14:B15"/>
    <mergeCell ref="B24:B25"/>
    <mergeCell ref="B32:B33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U111"/>
  <sheetViews>
    <sheetView showGridLines="0" zoomScale="90" zoomScaleNormal="90" workbookViewId="0">
      <selection activeCell="H109" sqref="H109"/>
    </sheetView>
  </sheetViews>
  <sheetFormatPr baseColWidth="10" defaultRowHeight="13.2" x14ac:dyDescent="0.3"/>
  <cols>
    <col min="1" max="1" width="1" style="220" customWidth="1"/>
    <col min="2" max="2" width="1.5546875" style="222" customWidth="1"/>
    <col min="3" max="3" width="27.5546875" style="221" bestFit="1" customWidth="1"/>
    <col min="4" max="4" width="21.44140625" style="221" bestFit="1" customWidth="1"/>
    <col min="5" max="5" width="8.44140625" style="221" bestFit="1" customWidth="1"/>
    <col min="6" max="6" width="8.6640625" style="221" bestFit="1" customWidth="1"/>
    <col min="7" max="7" width="8.44140625" style="221" bestFit="1" customWidth="1"/>
    <col min="8" max="8" width="9.44140625" style="221" customWidth="1"/>
    <col min="9" max="9" width="11" style="220" customWidth="1"/>
    <col min="10" max="10" width="1.5546875" style="220" customWidth="1"/>
    <col min="11" max="11" width="2" style="220" customWidth="1"/>
    <col min="12" max="12" width="38.109375" style="220" customWidth="1"/>
    <col min="13" max="13" width="6.33203125" style="220" bestFit="1" customWidth="1"/>
    <col min="14" max="14" width="7.109375" style="220" customWidth="1"/>
    <col min="15" max="15" width="8.44140625" style="220" bestFit="1" customWidth="1"/>
    <col min="16" max="18" width="7.33203125" style="220" customWidth="1"/>
    <col min="19" max="19" width="28.6640625" style="220" customWidth="1"/>
    <col min="20" max="256" width="11.44140625" style="220"/>
    <col min="257" max="257" width="1" style="220" customWidth="1"/>
    <col min="258" max="258" width="1.5546875" style="220" customWidth="1"/>
    <col min="259" max="259" width="27.5546875" style="220" bestFit="1" customWidth="1"/>
    <col min="260" max="260" width="21.44140625" style="220" bestFit="1" customWidth="1"/>
    <col min="261" max="261" width="8.44140625" style="220" bestFit="1" customWidth="1"/>
    <col min="262" max="262" width="8.33203125" style="220" bestFit="1" customWidth="1"/>
    <col min="263" max="263" width="8.44140625" style="220" bestFit="1" customWidth="1"/>
    <col min="264" max="264" width="9.44140625" style="220" customWidth="1"/>
    <col min="265" max="265" width="11" style="220" customWidth="1"/>
    <col min="266" max="266" width="1.5546875" style="220" customWidth="1"/>
    <col min="267" max="267" width="2" style="220" customWidth="1"/>
    <col min="268" max="268" width="38.109375" style="220" customWidth="1"/>
    <col min="269" max="269" width="6.33203125" style="220" bestFit="1" customWidth="1"/>
    <col min="270" max="270" width="4.33203125" style="220" bestFit="1" customWidth="1"/>
    <col min="271" max="271" width="8.44140625" style="220" bestFit="1" customWidth="1"/>
    <col min="272" max="274" width="7.33203125" style="220" customWidth="1"/>
    <col min="275" max="512" width="11.44140625" style="220"/>
    <col min="513" max="513" width="1" style="220" customWidth="1"/>
    <col min="514" max="514" width="1.5546875" style="220" customWidth="1"/>
    <col min="515" max="515" width="27.5546875" style="220" bestFit="1" customWidth="1"/>
    <col min="516" max="516" width="21.44140625" style="220" bestFit="1" customWidth="1"/>
    <col min="517" max="517" width="8.44140625" style="220" bestFit="1" customWidth="1"/>
    <col min="518" max="518" width="8.33203125" style="220" bestFit="1" customWidth="1"/>
    <col min="519" max="519" width="8.44140625" style="220" bestFit="1" customWidth="1"/>
    <col min="520" max="520" width="9.44140625" style="220" customWidth="1"/>
    <col min="521" max="521" width="11" style="220" customWidth="1"/>
    <col min="522" max="522" width="1.5546875" style="220" customWidth="1"/>
    <col min="523" max="523" width="2" style="220" customWidth="1"/>
    <col min="524" max="524" width="38.109375" style="220" customWidth="1"/>
    <col min="525" max="525" width="6.33203125" style="220" bestFit="1" customWidth="1"/>
    <col min="526" max="526" width="4.33203125" style="220" bestFit="1" customWidth="1"/>
    <col min="527" max="527" width="8.44140625" style="220" bestFit="1" customWidth="1"/>
    <col min="528" max="530" width="7.33203125" style="220" customWidth="1"/>
    <col min="531" max="768" width="11.44140625" style="220"/>
    <col min="769" max="769" width="1" style="220" customWidth="1"/>
    <col min="770" max="770" width="1.5546875" style="220" customWidth="1"/>
    <col min="771" max="771" width="27.5546875" style="220" bestFit="1" customWidth="1"/>
    <col min="772" max="772" width="21.44140625" style="220" bestFit="1" customWidth="1"/>
    <col min="773" max="773" width="8.44140625" style="220" bestFit="1" customWidth="1"/>
    <col min="774" max="774" width="8.33203125" style="220" bestFit="1" customWidth="1"/>
    <col min="775" max="775" width="8.44140625" style="220" bestFit="1" customWidth="1"/>
    <col min="776" max="776" width="9.44140625" style="220" customWidth="1"/>
    <col min="777" max="777" width="11" style="220" customWidth="1"/>
    <col min="778" max="778" width="1.5546875" style="220" customWidth="1"/>
    <col min="779" max="779" width="2" style="220" customWidth="1"/>
    <col min="780" max="780" width="38.109375" style="220" customWidth="1"/>
    <col min="781" max="781" width="6.33203125" style="220" bestFit="1" customWidth="1"/>
    <col min="782" max="782" width="4.33203125" style="220" bestFit="1" customWidth="1"/>
    <col min="783" max="783" width="8.44140625" style="220" bestFit="1" customWidth="1"/>
    <col min="784" max="786" width="7.33203125" style="220" customWidth="1"/>
    <col min="787" max="1024" width="11.44140625" style="220"/>
    <col min="1025" max="1025" width="1" style="220" customWidth="1"/>
    <col min="1026" max="1026" width="1.5546875" style="220" customWidth="1"/>
    <col min="1027" max="1027" width="27.5546875" style="220" bestFit="1" customWidth="1"/>
    <col min="1028" max="1028" width="21.44140625" style="220" bestFit="1" customWidth="1"/>
    <col min="1029" max="1029" width="8.44140625" style="220" bestFit="1" customWidth="1"/>
    <col min="1030" max="1030" width="8.33203125" style="220" bestFit="1" customWidth="1"/>
    <col min="1031" max="1031" width="8.44140625" style="220" bestFit="1" customWidth="1"/>
    <col min="1032" max="1032" width="9.44140625" style="220" customWidth="1"/>
    <col min="1033" max="1033" width="11" style="220" customWidth="1"/>
    <col min="1034" max="1034" width="1.5546875" style="220" customWidth="1"/>
    <col min="1035" max="1035" width="2" style="220" customWidth="1"/>
    <col min="1036" max="1036" width="38.109375" style="220" customWidth="1"/>
    <col min="1037" max="1037" width="6.33203125" style="220" bestFit="1" customWidth="1"/>
    <col min="1038" max="1038" width="4.33203125" style="220" bestFit="1" customWidth="1"/>
    <col min="1039" max="1039" width="8.44140625" style="220" bestFit="1" customWidth="1"/>
    <col min="1040" max="1042" width="7.33203125" style="220" customWidth="1"/>
    <col min="1043" max="1280" width="11.44140625" style="220"/>
    <col min="1281" max="1281" width="1" style="220" customWidth="1"/>
    <col min="1282" max="1282" width="1.5546875" style="220" customWidth="1"/>
    <col min="1283" max="1283" width="27.5546875" style="220" bestFit="1" customWidth="1"/>
    <col min="1284" max="1284" width="21.44140625" style="220" bestFit="1" customWidth="1"/>
    <col min="1285" max="1285" width="8.44140625" style="220" bestFit="1" customWidth="1"/>
    <col min="1286" max="1286" width="8.33203125" style="220" bestFit="1" customWidth="1"/>
    <col min="1287" max="1287" width="8.44140625" style="220" bestFit="1" customWidth="1"/>
    <col min="1288" max="1288" width="9.44140625" style="220" customWidth="1"/>
    <col min="1289" max="1289" width="11" style="220" customWidth="1"/>
    <col min="1290" max="1290" width="1.5546875" style="220" customWidth="1"/>
    <col min="1291" max="1291" width="2" style="220" customWidth="1"/>
    <col min="1292" max="1292" width="38.109375" style="220" customWidth="1"/>
    <col min="1293" max="1293" width="6.33203125" style="220" bestFit="1" customWidth="1"/>
    <col min="1294" max="1294" width="4.33203125" style="220" bestFit="1" customWidth="1"/>
    <col min="1295" max="1295" width="8.44140625" style="220" bestFit="1" customWidth="1"/>
    <col min="1296" max="1298" width="7.33203125" style="220" customWidth="1"/>
    <col min="1299" max="1536" width="11.44140625" style="220"/>
    <col min="1537" max="1537" width="1" style="220" customWidth="1"/>
    <col min="1538" max="1538" width="1.5546875" style="220" customWidth="1"/>
    <col min="1539" max="1539" width="27.5546875" style="220" bestFit="1" customWidth="1"/>
    <col min="1540" max="1540" width="21.44140625" style="220" bestFit="1" customWidth="1"/>
    <col min="1541" max="1541" width="8.44140625" style="220" bestFit="1" customWidth="1"/>
    <col min="1542" max="1542" width="8.33203125" style="220" bestFit="1" customWidth="1"/>
    <col min="1543" max="1543" width="8.44140625" style="220" bestFit="1" customWidth="1"/>
    <col min="1544" max="1544" width="9.44140625" style="220" customWidth="1"/>
    <col min="1545" max="1545" width="11" style="220" customWidth="1"/>
    <col min="1546" max="1546" width="1.5546875" style="220" customWidth="1"/>
    <col min="1547" max="1547" width="2" style="220" customWidth="1"/>
    <col min="1548" max="1548" width="38.109375" style="220" customWidth="1"/>
    <col min="1549" max="1549" width="6.33203125" style="220" bestFit="1" customWidth="1"/>
    <col min="1550" max="1550" width="4.33203125" style="220" bestFit="1" customWidth="1"/>
    <col min="1551" max="1551" width="8.44140625" style="220" bestFit="1" customWidth="1"/>
    <col min="1552" max="1554" width="7.33203125" style="220" customWidth="1"/>
    <col min="1555" max="1792" width="11.44140625" style="220"/>
    <col min="1793" max="1793" width="1" style="220" customWidth="1"/>
    <col min="1794" max="1794" width="1.5546875" style="220" customWidth="1"/>
    <col min="1795" max="1795" width="27.5546875" style="220" bestFit="1" customWidth="1"/>
    <col min="1796" max="1796" width="21.44140625" style="220" bestFit="1" customWidth="1"/>
    <col min="1797" max="1797" width="8.44140625" style="220" bestFit="1" customWidth="1"/>
    <col min="1798" max="1798" width="8.33203125" style="220" bestFit="1" customWidth="1"/>
    <col min="1799" max="1799" width="8.44140625" style="220" bestFit="1" customWidth="1"/>
    <col min="1800" max="1800" width="9.44140625" style="220" customWidth="1"/>
    <col min="1801" max="1801" width="11" style="220" customWidth="1"/>
    <col min="1802" max="1802" width="1.5546875" style="220" customWidth="1"/>
    <col min="1803" max="1803" width="2" style="220" customWidth="1"/>
    <col min="1804" max="1804" width="38.109375" style="220" customWidth="1"/>
    <col min="1805" max="1805" width="6.33203125" style="220" bestFit="1" customWidth="1"/>
    <col min="1806" max="1806" width="4.33203125" style="220" bestFit="1" customWidth="1"/>
    <col min="1807" max="1807" width="8.44140625" style="220" bestFit="1" customWidth="1"/>
    <col min="1808" max="1810" width="7.33203125" style="220" customWidth="1"/>
    <col min="1811" max="2048" width="11.44140625" style="220"/>
    <col min="2049" max="2049" width="1" style="220" customWidth="1"/>
    <col min="2050" max="2050" width="1.5546875" style="220" customWidth="1"/>
    <col min="2051" max="2051" width="27.5546875" style="220" bestFit="1" customWidth="1"/>
    <col min="2052" max="2052" width="21.44140625" style="220" bestFit="1" customWidth="1"/>
    <col min="2053" max="2053" width="8.44140625" style="220" bestFit="1" customWidth="1"/>
    <col min="2054" max="2054" width="8.33203125" style="220" bestFit="1" customWidth="1"/>
    <col min="2055" max="2055" width="8.44140625" style="220" bestFit="1" customWidth="1"/>
    <col min="2056" max="2056" width="9.44140625" style="220" customWidth="1"/>
    <col min="2057" max="2057" width="11" style="220" customWidth="1"/>
    <col min="2058" max="2058" width="1.5546875" style="220" customWidth="1"/>
    <col min="2059" max="2059" width="2" style="220" customWidth="1"/>
    <col min="2060" max="2060" width="38.109375" style="220" customWidth="1"/>
    <col min="2061" max="2061" width="6.33203125" style="220" bestFit="1" customWidth="1"/>
    <col min="2062" max="2062" width="4.33203125" style="220" bestFit="1" customWidth="1"/>
    <col min="2063" max="2063" width="8.44140625" style="220" bestFit="1" customWidth="1"/>
    <col min="2064" max="2066" width="7.33203125" style="220" customWidth="1"/>
    <col min="2067" max="2304" width="11.44140625" style="220"/>
    <col min="2305" max="2305" width="1" style="220" customWidth="1"/>
    <col min="2306" max="2306" width="1.5546875" style="220" customWidth="1"/>
    <col min="2307" max="2307" width="27.5546875" style="220" bestFit="1" customWidth="1"/>
    <col min="2308" max="2308" width="21.44140625" style="220" bestFit="1" customWidth="1"/>
    <col min="2309" max="2309" width="8.44140625" style="220" bestFit="1" customWidth="1"/>
    <col min="2310" max="2310" width="8.33203125" style="220" bestFit="1" customWidth="1"/>
    <col min="2311" max="2311" width="8.44140625" style="220" bestFit="1" customWidth="1"/>
    <col min="2312" max="2312" width="9.44140625" style="220" customWidth="1"/>
    <col min="2313" max="2313" width="11" style="220" customWidth="1"/>
    <col min="2314" max="2314" width="1.5546875" style="220" customWidth="1"/>
    <col min="2315" max="2315" width="2" style="220" customWidth="1"/>
    <col min="2316" max="2316" width="38.109375" style="220" customWidth="1"/>
    <col min="2317" max="2317" width="6.33203125" style="220" bestFit="1" customWidth="1"/>
    <col min="2318" max="2318" width="4.33203125" style="220" bestFit="1" customWidth="1"/>
    <col min="2319" max="2319" width="8.44140625" style="220" bestFit="1" customWidth="1"/>
    <col min="2320" max="2322" width="7.33203125" style="220" customWidth="1"/>
    <col min="2323" max="2560" width="11.44140625" style="220"/>
    <col min="2561" max="2561" width="1" style="220" customWidth="1"/>
    <col min="2562" max="2562" width="1.5546875" style="220" customWidth="1"/>
    <col min="2563" max="2563" width="27.5546875" style="220" bestFit="1" customWidth="1"/>
    <col min="2564" max="2564" width="21.44140625" style="220" bestFit="1" customWidth="1"/>
    <col min="2565" max="2565" width="8.44140625" style="220" bestFit="1" customWidth="1"/>
    <col min="2566" max="2566" width="8.33203125" style="220" bestFit="1" customWidth="1"/>
    <col min="2567" max="2567" width="8.44140625" style="220" bestFit="1" customWidth="1"/>
    <col min="2568" max="2568" width="9.44140625" style="220" customWidth="1"/>
    <col min="2569" max="2569" width="11" style="220" customWidth="1"/>
    <col min="2570" max="2570" width="1.5546875" style="220" customWidth="1"/>
    <col min="2571" max="2571" width="2" style="220" customWidth="1"/>
    <col min="2572" max="2572" width="38.109375" style="220" customWidth="1"/>
    <col min="2573" max="2573" width="6.33203125" style="220" bestFit="1" customWidth="1"/>
    <col min="2574" max="2574" width="4.33203125" style="220" bestFit="1" customWidth="1"/>
    <col min="2575" max="2575" width="8.44140625" style="220" bestFit="1" customWidth="1"/>
    <col min="2576" max="2578" width="7.33203125" style="220" customWidth="1"/>
    <col min="2579" max="2816" width="11.44140625" style="220"/>
    <col min="2817" max="2817" width="1" style="220" customWidth="1"/>
    <col min="2818" max="2818" width="1.5546875" style="220" customWidth="1"/>
    <col min="2819" max="2819" width="27.5546875" style="220" bestFit="1" customWidth="1"/>
    <col min="2820" max="2820" width="21.44140625" style="220" bestFit="1" customWidth="1"/>
    <col min="2821" max="2821" width="8.44140625" style="220" bestFit="1" customWidth="1"/>
    <col min="2822" max="2822" width="8.33203125" style="220" bestFit="1" customWidth="1"/>
    <col min="2823" max="2823" width="8.44140625" style="220" bestFit="1" customWidth="1"/>
    <col min="2824" max="2824" width="9.44140625" style="220" customWidth="1"/>
    <col min="2825" max="2825" width="11" style="220" customWidth="1"/>
    <col min="2826" max="2826" width="1.5546875" style="220" customWidth="1"/>
    <col min="2827" max="2827" width="2" style="220" customWidth="1"/>
    <col min="2828" max="2828" width="38.109375" style="220" customWidth="1"/>
    <col min="2829" max="2829" width="6.33203125" style="220" bestFit="1" customWidth="1"/>
    <col min="2830" max="2830" width="4.33203125" style="220" bestFit="1" customWidth="1"/>
    <col min="2831" max="2831" width="8.44140625" style="220" bestFit="1" customWidth="1"/>
    <col min="2832" max="2834" width="7.33203125" style="220" customWidth="1"/>
    <col min="2835" max="3072" width="11.44140625" style="220"/>
    <col min="3073" max="3073" width="1" style="220" customWidth="1"/>
    <col min="3074" max="3074" width="1.5546875" style="220" customWidth="1"/>
    <col min="3075" max="3075" width="27.5546875" style="220" bestFit="1" customWidth="1"/>
    <col min="3076" max="3076" width="21.44140625" style="220" bestFit="1" customWidth="1"/>
    <col min="3077" max="3077" width="8.44140625" style="220" bestFit="1" customWidth="1"/>
    <col min="3078" max="3078" width="8.33203125" style="220" bestFit="1" customWidth="1"/>
    <col min="3079" max="3079" width="8.44140625" style="220" bestFit="1" customWidth="1"/>
    <col min="3080" max="3080" width="9.44140625" style="220" customWidth="1"/>
    <col min="3081" max="3081" width="11" style="220" customWidth="1"/>
    <col min="3082" max="3082" width="1.5546875" style="220" customWidth="1"/>
    <col min="3083" max="3083" width="2" style="220" customWidth="1"/>
    <col min="3084" max="3084" width="38.109375" style="220" customWidth="1"/>
    <col min="3085" max="3085" width="6.33203125" style="220" bestFit="1" customWidth="1"/>
    <col min="3086" max="3086" width="4.33203125" style="220" bestFit="1" customWidth="1"/>
    <col min="3087" max="3087" width="8.44140625" style="220" bestFit="1" customWidth="1"/>
    <col min="3088" max="3090" width="7.33203125" style="220" customWidth="1"/>
    <col min="3091" max="3328" width="11.44140625" style="220"/>
    <col min="3329" max="3329" width="1" style="220" customWidth="1"/>
    <col min="3330" max="3330" width="1.5546875" style="220" customWidth="1"/>
    <col min="3331" max="3331" width="27.5546875" style="220" bestFit="1" customWidth="1"/>
    <col min="3332" max="3332" width="21.44140625" style="220" bestFit="1" customWidth="1"/>
    <col min="3333" max="3333" width="8.44140625" style="220" bestFit="1" customWidth="1"/>
    <col min="3334" max="3334" width="8.33203125" style="220" bestFit="1" customWidth="1"/>
    <col min="3335" max="3335" width="8.44140625" style="220" bestFit="1" customWidth="1"/>
    <col min="3336" max="3336" width="9.44140625" style="220" customWidth="1"/>
    <col min="3337" max="3337" width="11" style="220" customWidth="1"/>
    <col min="3338" max="3338" width="1.5546875" style="220" customWidth="1"/>
    <col min="3339" max="3339" width="2" style="220" customWidth="1"/>
    <col min="3340" max="3340" width="38.109375" style="220" customWidth="1"/>
    <col min="3341" max="3341" width="6.33203125" style="220" bestFit="1" customWidth="1"/>
    <col min="3342" max="3342" width="4.33203125" style="220" bestFit="1" customWidth="1"/>
    <col min="3343" max="3343" width="8.44140625" style="220" bestFit="1" customWidth="1"/>
    <col min="3344" max="3346" width="7.33203125" style="220" customWidth="1"/>
    <col min="3347" max="3584" width="11.44140625" style="220"/>
    <col min="3585" max="3585" width="1" style="220" customWidth="1"/>
    <col min="3586" max="3586" width="1.5546875" style="220" customWidth="1"/>
    <col min="3587" max="3587" width="27.5546875" style="220" bestFit="1" customWidth="1"/>
    <col min="3588" max="3588" width="21.44140625" style="220" bestFit="1" customWidth="1"/>
    <col min="3589" max="3589" width="8.44140625" style="220" bestFit="1" customWidth="1"/>
    <col min="3590" max="3590" width="8.33203125" style="220" bestFit="1" customWidth="1"/>
    <col min="3591" max="3591" width="8.44140625" style="220" bestFit="1" customWidth="1"/>
    <col min="3592" max="3592" width="9.44140625" style="220" customWidth="1"/>
    <col min="3593" max="3593" width="11" style="220" customWidth="1"/>
    <col min="3594" max="3594" width="1.5546875" style="220" customWidth="1"/>
    <col min="3595" max="3595" width="2" style="220" customWidth="1"/>
    <col min="3596" max="3596" width="38.109375" style="220" customWidth="1"/>
    <col min="3597" max="3597" width="6.33203125" style="220" bestFit="1" customWidth="1"/>
    <col min="3598" max="3598" width="4.33203125" style="220" bestFit="1" customWidth="1"/>
    <col min="3599" max="3599" width="8.44140625" style="220" bestFit="1" customWidth="1"/>
    <col min="3600" max="3602" width="7.33203125" style="220" customWidth="1"/>
    <col min="3603" max="3840" width="11.44140625" style="220"/>
    <col min="3841" max="3841" width="1" style="220" customWidth="1"/>
    <col min="3842" max="3842" width="1.5546875" style="220" customWidth="1"/>
    <col min="3843" max="3843" width="27.5546875" style="220" bestFit="1" customWidth="1"/>
    <col min="3844" max="3844" width="21.44140625" style="220" bestFit="1" customWidth="1"/>
    <col min="3845" max="3845" width="8.44140625" style="220" bestFit="1" customWidth="1"/>
    <col min="3846" max="3846" width="8.33203125" style="220" bestFit="1" customWidth="1"/>
    <col min="3847" max="3847" width="8.44140625" style="220" bestFit="1" customWidth="1"/>
    <col min="3848" max="3848" width="9.44140625" style="220" customWidth="1"/>
    <col min="3849" max="3849" width="11" style="220" customWidth="1"/>
    <col min="3850" max="3850" width="1.5546875" style="220" customWidth="1"/>
    <col min="3851" max="3851" width="2" style="220" customWidth="1"/>
    <col min="3852" max="3852" width="38.109375" style="220" customWidth="1"/>
    <col min="3853" max="3853" width="6.33203125" style="220" bestFit="1" customWidth="1"/>
    <col min="3854" max="3854" width="4.33203125" style="220" bestFit="1" customWidth="1"/>
    <col min="3855" max="3855" width="8.44140625" style="220" bestFit="1" customWidth="1"/>
    <col min="3856" max="3858" width="7.33203125" style="220" customWidth="1"/>
    <col min="3859" max="4096" width="11.44140625" style="220"/>
    <col min="4097" max="4097" width="1" style="220" customWidth="1"/>
    <col min="4098" max="4098" width="1.5546875" style="220" customWidth="1"/>
    <col min="4099" max="4099" width="27.5546875" style="220" bestFit="1" customWidth="1"/>
    <col min="4100" max="4100" width="21.44140625" style="220" bestFit="1" customWidth="1"/>
    <col min="4101" max="4101" width="8.44140625" style="220" bestFit="1" customWidth="1"/>
    <col min="4102" max="4102" width="8.33203125" style="220" bestFit="1" customWidth="1"/>
    <col min="4103" max="4103" width="8.44140625" style="220" bestFit="1" customWidth="1"/>
    <col min="4104" max="4104" width="9.44140625" style="220" customWidth="1"/>
    <col min="4105" max="4105" width="11" style="220" customWidth="1"/>
    <col min="4106" max="4106" width="1.5546875" style="220" customWidth="1"/>
    <col min="4107" max="4107" width="2" style="220" customWidth="1"/>
    <col min="4108" max="4108" width="38.109375" style="220" customWidth="1"/>
    <col min="4109" max="4109" width="6.33203125" style="220" bestFit="1" customWidth="1"/>
    <col min="4110" max="4110" width="4.33203125" style="220" bestFit="1" customWidth="1"/>
    <col min="4111" max="4111" width="8.44140625" style="220" bestFit="1" customWidth="1"/>
    <col min="4112" max="4114" width="7.33203125" style="220" customWidth="1"/>
    <col min="4115" max="4352" width="11.44140625" style="220"/>
    <col min="4353" max="4353" width="1" style="220" customWidth="1"/>
    <col min="4354" max="4354" width="1.5546875" style="220" customWidth="1"/>
    <col min="4355" max="4355" width="27.5546875" style="220" bestFit="1" customWidth="1"/>
    <col min="4356" max="4356" width="21.44140625" style="220" bestFit="1" customWidth="1"/>
    <col min="4357" max="4357" width="8.44140625" style="220" bestFit="1" customWidth="1"/>
    <col min="4358" max="4358" width="8.33203125" style="220" bestFit="1" customWidth="1"/>
    <col min="4359" max="4359" width="8.44140625" style="220" bestFit="1" customWidth="1"/>
    <col min="4360" max="4360" width="9.44140625" style="220" customWidth="1"/>
    <col min="4361" max="4361" width="11" style="220" customWidth="1"/>
    <col min="4362" max="4362" width="1.5546875" style="220" customWidth="1"/>
    <col min="4363" max="4363" width="2" style="220" customWidth="1"/>
    <col min="4364" max="4364" width="38.109375" style="220" customWidth="1"/>
    <col min="4365" max="4365" width="6.33203125" style="220" bestFit="1" customWidth="1"/>
    <col min="4366" max="4366" width="4.33203125" style="220" bestFit="1" customWidth="1"/>
    <col min="4367" max="4367" width="8.44140625" style="220" bestFit="1" customWidth="1"/>
    <col min="4368" max="4370" width="7.33203125" style="220" customWidth="1"/>
    <col min="4371" max="4608" width="11.44140625" style="220"/>
    <col min="4609" max="4609" width="1" style="220" customWidth="1"/>
    <col min="4610" max="4610" width="1.5546875" style="220" customWidth="1"/>
    <col min="4611" max="4611" width="27.5546875" style="220" bestFit="1" customWidth="1"/>
    <col min="4612" max="4612" width="21.44140625" style="220" bestFit="1" customWidth="1"/>
    <col min="4613" max="4613" width="8.44140625" style="220" bestFit="1" customWidth="1"/>
    <col min="4614" max="4614" width="8.33203125" style="220" bestFit="1" customWidth="1"/>
    <col min="4615" max="4615" width="8.44140625" style="220" bestFit="1" customWidth="1"/>
    <col min="4616" max="4616" width="9.44140625" style="220" customWidth="1"/>
    <col min="4617" max="4617" width="11" style="220" customWidth="1"/>
    <col min="4618" max="4618" width="1.5546875" style="220" customWidth="1"/>
    <col min="4619" max="4619" width="2" style="220" customWidth="1"/>
    <col min="4620" max="4620" width="38.109375" style="220" customWidth="1"/>
    <col min="4621" max="4621" width="6.33203125" style="220" bestFit="1" customWidth="1"/>
    <col min="4622" max="4622" width="4.33203125" style="220" bestFit="1" customWidth="1"/>
    <col min="4623" max="4623" width="8.44140625" style="220" bestFit="1" customWidth="1"/>
    <col min="4624" max="4626" width="7.33203125" style="220" customWidth="1"/>
    <col min="4627" max="4864" width="11.44140625" style="220"/>
    <col min="4865" max="4865" width="1" style="220" customWidth="1"/>
    <col min="4866" max="4866" width="1.5546875" style="220" customWidth="1"/>
    <col min="4867" max="4867" width="27.5546875" style="220" bestFit="1" customWidth="1"/>
    <col min="4868" max="4868" width="21.44140625" style="220" bestFit="1" customWidth="1"/>
    <col min="4869" max="4869" width="8.44140625" style="220" bestFit="1" customWidth="1"/>
    <col min="4870" max="4870" width="8.33203125" style="220" bestFit="1" customWidth="1"/>
    <col min="4871" max="4871" width="8.44140625" style="220" bestFit="1" customWidth="1"/>
    <col min="4872" max="4872" width="9.44140625" style="220" customWidth="1"/>
    <col min="4873" max="4873" width="11" style="220" customWidth="1"/>
    <col min="4874" max="4874" width="1.5546875" style="220" customWidth="1"/>
    <col min="4875" max="4875" width="2" style="220" customWidth="1"/>
    <col min="4876" max="4876" width="38.109375" style="220" customWidth="1"/>
    <col min="4877" max="4877" width="6.33203125" style="220" bestFit="1" customWidth="1"/>
    <col min="4878" max="4878" width="4.33203125" style="220" bestFit="1" customWidth="1"/>
    <col min="4879" max="4879" width="8.44140625" style="220" bestFit="1" customWidth="1"/>
    <col min="4880" max="4882" width="7.33203125" style="220" customWidth="1"/>
    <col min="4883" max="5120" width="11.44140625" style="220"/>
    <col min="5121" max="5121" width="1" style="220" customWidth="1"/>
    <col min="5122" max="5122" width="1.5546875" style="220" customWidth="1"/>
    <col min="5123" max="5123" width="27.5546875" style="220" bestFit="1" customWidth="1"/>
    <col min="5124" max="5124" width="21.44140625" style="220" bestFit="1" customWidth="1"/>
    <col min="5125" max="5125" width="8.44140625" style="220" bestFit="1" customWidth="1"/>
    <col min="5126" max="5126" width="8.33203125" style="220" bestFit="1" customWidth="1"/>
    <col min="5127" max="5127" width="8.44140625" style="220" bestFit="1" customWidth="1"/>
    <col min="5128" max="5128" width="9.44140625" style="220" customWidth="1"/>
    <col min="5129" max="5129" width="11" style="220" customWidth="1"/>
    <col min="5130" max="5130" width="1.5546875" style="220" customWidth="1"/>
    <col min="5131" max="5131" width="2" style="220" customWidth="1"/>
    <col min="5132" max="5132" width="38.109375" style="220" customWidth="1"/>
    <col min="5133" max="5133" width="6.33203125" style="220" bestFit="1" customWidth="1"/>
    <col min="5134" max="5134" width="4.33203125" style="220" bestFit="1" customWidth="1"/>
    <col min="5135" max="5135" width="8.44140625" style="220" bestFit="1" customWidth="1"/>
    <col min="5136" max="5138" width="7.33203125" style="220" customWidth="1"/>
    <col min="5139" max="5376" width="11.44140625" style="220"/>
    <col min="5377" max="5377" width="1" style="220" customWidth="1"/>
    <col min="5378" max="5378" width="1.5546875" style="220" customWidth="1"/>
    <col min="5379" max="5379" width="27.5546875" style="220" bestFit="1" customWidth="1"/>
    <col min="5380" max="5380" width="21.44140625" style="220" bestFit="1" customWidth="1"/>
    <col min="5381" max="5381" width="8.44140625" style="220" bestFit="1" customWidth="1"/>
    <col min="5382" max="5382" width="8.33203125" style="220" bestFit="1" customWidth="1"/>
    <col min="5383" max="5383" width="8.44140625" style="220" bestFit="1" customWidth="1"/>
    <col min="5384" max="5384" width="9.44140625" style="220" customWidth="1"/>
    <col min="5385" max="5385" width="11" style="220" customWidth="1"/>
    <col min="5386" max="5386" width="1.5546875" style="220" customWidth="1"/>
    <col min="5387" max="5387" width="2" style="220" customWidth="1"/>
    <col min="5388" max="5388" width="38.109375" style="220" customWidth="1"/>
    <col min="5389" max="5389" width="6.33203125" style="220" bestFit="1" customWidth="1"/>
    <col min="5390" max="5390" width="4.33203125" style="220" bestFit="1" customWidth="1"/>
    <col min="5391" max="5391" width="8.44140625" style="220" bestFit="1" customWidth="1"/>
    <col min="5392" max="5394" width="7.33203125" style="220" customWidth="1"/>
    <col min="5395" max="5632" width="11.44140625" style="220"/>
    <col min="5633" max="5633" width="1" style="220" customWidth="1"/>
    <col min="5634" max="5634" width="1.5546875" style="220" customWidth="1"/>
    <col min="5635" max="5635" width="27.5546875" style="220" bestFit="1" customWidth="1"/>
    <col min="5636" max="5636" width="21.44140625" style="220" bestFit="1" customWidth="1"/>
    <col min="5637" max="5637" width="8.44140625" style="220" bestFit="1" customWidth="1"/>
    <col min="5638" max="5638" width="8.33203125" style="220" bestFit="1" customWidth="1"/>
    <col min="5639" max="5639" width="8.44140625" style="220" bestFit="1" customWidth="1"/>
    <col min="5640" max="5640" width="9.44140625" style="220" customWidth="1"/>
    <col min="5641" max="5641" width="11" style="220" customWidth="1"/>
    <col min="5642" max="5642" width="1.5546875" style="220" customWidth="1"/>
    <col min="5643" max="5643" width="2" style="220" customWidth="1"/>
    <col min="5644" max="5644" width="38.109375" style="220" customWidth="1"/>
    <col min="5645" max="5645" width="6.33203125" style="220" bestFit="1" customWidth="1"/>
    <col min="5646" max="5646" width="4.33203125" style="220" bestFit="1" customWidth="1"/>
    <col min="5647" max="5647" width="8.44140625" style="220" bestFit="1" customWidth="1"/>
    <col min="5648" max="5650" width="7.33203125" style="220" customWidth="1"/>
    <col min="5651" max="5888" width="11.44140625" style="220"/>
    <col min="5889" max="5889" width="1" style="220" customWidth="1"/>
    <col min="5890" max="5890" width="1.5546875" style="220" customWidth="1"/>
    <col min="5891" max="5891" width="27.5546875" style="220" bestFit="1" customWidth="1"/>
    <col min="5892" max="5892" width="21.44140625" style="220" bestFit="1" customWidth="1"/>
    <col min="5893" max="5893" width="8.44140625" style="220" bestFit="1" customWidth="1"/>
    <col min="5894" max="5894" width="8.33203125" style="220" bestFit="1" customWidth="1"/>
    <col min="5895" max="5895" width="8.44140625" style="220" bestFit="1" customWidth="1"/>
    <col min="5896" max="5896" width="9.44140625" style="220" customWidth="1"/>
    <col min="5897" max="5897" width="11" style="220" customWidth="1"/>
    <col min="5898" max="5898" width="1.5546875" style="220" customWidth="1"/>
    <col min="5899" max="5899" width="2" style="220" customWidth="1"/>
    <col min="5900" max="5900" width="38.109375" style="220" customWidth="1"/>
    <col min="5901" max="5901" width="6.33203125" style="220" bestFit="1" customWidth="1"/>
    <col min="5902" max="5902" width="4.33203125" style="220" bestFit="1" customWidth="1"/>
    <col min="5903" max="5903" width="8.44140625" style="220" bestFit="1" customWidth="1"/>
    <col min="5904" max="5906" width="7.33203125" style="220" customWidth="1"/>
    <col min="5907" max="6144" width="11.44140625" style="220"/>
    <col min="6145" max="6145" width="1" style="220" customWidth="1"/>
    <col min="6146" max="6146" width="1.5546875" style="220" customWidth="1"/>
    <col min="6147" max="6147" width="27.5546875" style="220" bestFit="1" customWidth="1"/>
    <col min="6148" max="6148" width="21.44140625" style="220" bestFit="1" customWidth="1"/>
    <col min="6149" max="6149" width="8.44140625" style="220" bestFit="1" customWidth="1"/>
    <col min="6150" max="6150" width="8.33203125" style="220" bestFit="1" customWidth="1"/>
    <col min="6151" max="6151" width="8.44140625" style="220" bestFit="1" customWidth="1"/>
    <col min="6152" max="6152" width="9.44140625" style="220" customWidth="1"/>
    <col min="6153" max="6153" width="11" style="220" customWidth="1"/>
    <col min="6154" max="6154" width="1.5546875" style="220" customWidth="1"/>
    <col min="6155" max="6155" width="2" style="220" customWidth="1"/>
    <col min="6156" max="6156" width="38.109375" style="220" customWidth="1"/>
    <col min="6157" max="6157" width="6.33203125" style="220" bestFit="1" customWidth="1"/>
    <col min="6158" max="6158" width="4.33203125" style="220" bestFit="1" customWidth="1"/>
    <col min="6159" max="6159" width="8.44140625" style="220" bestFit="1" customWidth="1"/>
    <col min="6160" max="6162" width="7.33203125" style="220" customWidth="1"/>
    <col min="6163" max="6400" width="11.44140625" style="220"/>
    <col min="6401" max="6401" width="1" style="220" customWidth="1"/>
    <col min="6402" max="6402" width="1.5546875" style="220" customWidth="1"/>
    <col min="6403" max="6403" width="27.5546875" style="220" bestFit="1" customWidth="1"/>
    <col min="6404" max="6404" width="21.44140625" style="220" bestFit="1" customWidth="1"/>
    <col min="6405" max="6405" width="8.44140625" style="220" bestFit="1" customWidth="1"/>
    <col min="6406" max="6406" width="8.33203125" style="220" bestFit="1" customWidth="1"/>
    <col min="6407" max="6407" width="8.44140625" style="220" bestFit="1" customWidth="1"/>
    <col min="6408" max="6408" width="9.44140625" style="220" customWidth="1"/>
    <col min="6409" max="6409" width="11" style="220" customWidth="1"/>
    <col min="6410" max="6410" width="1.5546875" style="220" customWidth="1"/>
    <col min="6411" max="6411" width="2" style="220" customWidth="1"/>
    <col min="6412" max="6412" width="38.109375" style="220" customWidth="1"/>
    <col min="6413" max="6413" width="6.33203125" style="220" bestFit="1" customWidth="1"/>
    <col min="6414" max="6414" width="4.33203125" style="220" bestFit="1" customWidth="1"/>
    <col min="6415" max="6415" width="8.44140625" style="220" bestFit="1" customWidth="1"/>
    <col min="6416" max="6418" width="7.33203125" style="220" customWidth="1"/>
    <col min="6419" max="6656" width="11.44140625" style="220"/>
    <col min="6657" max="6657" width="1" style="220" customWidth="1"/>
    <col min="6658" max="6658" width="1.5546875" style="220" customWidth="1"/>
    <col min="6659" max="6659" width="27.5546875" style="220" bestFit="1" customWidth="1"/>
    <col min="6660" max="6660" width="21.44140625" style="220" bestFit="1" customWidth="1"/>
    <col min="6661" max="6661" width="8.44140625" style="220" bestFit="1" customWidth="1"/>
    <col min="6662" max="6662" width="8.33203125" style="220" bestFit="1" customWidth="1"/>
    <col min="6663" max="6663" width="8.44140625" style="220" bestFit="1" customWidth="1"/>
    <col min="6664" max="6664" width="9.44140625" style="220" customWidth="1"/>
    <col min="6665" max="6665" width="11" style="220" customWidth="1"/>
    <col min="6666" max="6666" width="1.5546875" style="220" customWidth="1"/>
    <col min="6667" max="6667" width="2" style="220" customWidth="1"/>
    <col min="6668" max="6668" width="38.109375" style="220" customWidth="1"/>
    <col min="6669" max="6669" width="6.33203125" style="220" bestFit="1" customWidth="1"/>
    <col min="6670" max="6670" width="4.33203125" style="220" bestFit="1" customWidth="1"/>
    <col min="6671" max="6671" width="8.44140625" style="220" bestFit="1" customWidth="1"/>
    <col min="6672" max="6674" width="7.33203125" style="220" customWidth="1"/>
    <col min="6675" max="6912" width="11.44140625" style="220"/>
    <col min="6913" max="6913" width="1" style="220" customWidth="1"/>
    <col min="6914" max="6914" width="1.5546875" style="220" customWidth="1"/>
    <col min="6915" max="6915" width="27.5546875" style="220" bestFit="1" customWidth="1"/>
    <col min="6916" max="6916" width="21.44140625" style="220" bestFit="1" customWidth="1"/>
    <col min="6917" max="6917" width="8.44140625" style="220" bestFit="1" customWidth="1"/>
    <col min="6918" max="6918" width="8.33203125" style="220" bestFit="1" customWidth="1"/>
    <col min="6919" max="6919" width="8.44140625" style="220" bestFit="1" customWidth="1"/>
    <col min="6920" max="6920" width="9.44140625" style="220" customWidth="1"/>
    <col min="6921" max="6921" width="11" style="220" customWidth="1"/>
    <col min="6922" max="6922" width="1.5546875" style="220" customWidth="1"/>
    <col min="6923" max="6923" width="2" style="220" customWidth="1"/>
    <col min="6924" max="6924" width="38.109375" style="220" customWidth="1"/>
    <col min="6925" max="6925" width="6.33203125" style="220" bestFit="1" customWidth="1"/>
    <col min="6926" max="6926" width="4.33203125" style="220" bestFit="1" customWidth="1"/>
    <col min="6927" max="6927" width="8.44140625" style="220" bestFit="1" customWidth="1"/>
    <col min="6928" max="6930" width="7.33203125" style="220" customWidth="1"/>
    <col min="6931" max="7168" width="11.44140625" style="220"/>
    <col min="7169" max="7169" width="1" style="220" customWidth="1"/>
    <col min="7170" max="7170" width="1.5546875" style="220" customWidth="1"/>
    <col min="7171" max="7171" width="27.5546875" style="220" bestFit="1" customWidth="1"/>
    <col min="7172" max="7172" width="21.44140625" style="220" bestFit="1" customWidth="1"/>
    <col min="7173" max="7173" width="8.44140625" style="220" bestFit="1" customWidth="1"/>
    <col min="7174" max="7174" width="8.33203125" style="220" bestFit="1" customWidth="1"/>
    <col min="7175" max="7175" width="8.44140625" style="220" bestFit="1" customWidth="1"/>
    <col min="7176" max="7176" width="9.44140625" style="220" customWidth="1"/>
    <col min="7177" max="7177" width="11" style="220" customWidth="1"/>
    <col min="7178" max="7178" width="1.5546875" style="220" customWidth="1"/>
    <col min="7179" max="7179" width="2" style="220" customWidth="1"/>
    <col min="7180" max="7180" width="38.109375" style="220" customWidth="1"/>
    <col min="7181" max="7181" width="6.33203125" style="220" bestFit="1" customWidth="1"/>
    <col min="7182" max="7182" width="4.33203125" style="220" bestFit="1" customWidth="1"/>
    <col min="7183" max="7183" width="8.44140625" style="220" bestFit="1" customWidth="1"/>
    <col min="7184" max="7186" width="7.33203125" style="220" customWidth="1"/>
    <col min="7187" max="7424" width="11.44140625" style="220"/>
    <col min="7425" max="7425" width="1" style="220" customWidth="1"/>
    <col min="7426" max="7426" width="1.5546875" style="220" customWidth="1"/>
    <col min="7427" max="7427" width="27.5546875" style="220" bestFit="1" customWidth="1"/>
    <col min="7428" max="7428" width="21.44140625" style="220" bestFit="1" customWidth="1"/>
    <col min="7429" max="7429" width="8.44140625" style="220" bestFit="1" customWidth="1"/>
    <col min="7430" max="7430" width="8.33203125" style="220" bestFit="1" customWidth="1"/>
    <col min="7431" max="7431" width="8.44140625" style="220" bestFit="1" customWidth="1"/>
    <col min="7432" max="7432" width="9.44140625" style="220" customWidth="1"/>
    <col min="7433" max="7433" width="11" style="220" customWidth="1"/>
    <col min="7434" max="7434" width="1.5546875" style="220" customWidth="1"/>
    <col min="7435" max="7435" width="2" style="220" customWidth="1"/>
    <col min="7436" max="7436" width="38.109375" style="220" customWidth="1"/>
    <col min="7437" max="7437" width="6.33203125" style="220" bestFit="1" customWidth="1"/>
    <col min="7438" max="7438" width="4.33203125" style="220" bestFit="1" customWidth="1"/>
    <col min="7439" max="7439" width="8.44140625" style="220" bestFit="1" customWidth="1"/>
    <col min="7440" max="7442" width="7.33203125" style="220" customWidth="1"/>
    <col min="7443" max="7680" width="11.44140625" style="220"/>
    <col min="7681" max="7681" width="1" style="220" customWidth="1"/>
    <col min="7682" max="7682" width="1.5546875" style="220" customWidth="1"/>
    <col min="7683" max="7683" width="27.5546875" style="220" bestFit="1" customWidth="1"/>
    <col min="7684" max="7684" width="21.44140625" style="220" bestFit="1" customWidth="1"/>
    <col min="7685" max="7685" width="8.44140625" style="220" bestFit="1" customWidth="1"/>
    <col min="7686" max="7686" width="8.33203125" style="220" bestFit="1" customWidth="1"/>
    <col min="7687" max="7687" width="8.44140625" style="220" bestFit="1" customWidth="1"/>
    <col min="7688" max="7688" width="9.44140625" style="220" customWidth="1"/>
    <col min="7689" max="7689" width="11" style="220" customWidth="1"/>
    <col min="7690" max="7690" width="1.5546875" style="220" customWidth="1"/>
    <col min="7691" max="7691" width="2" style="220" customWidth="1"/>
    <col min="7692" max="7692" width="38.109375" style="220" customWidth="1"/>
    <col min="7693" max="7693" width="6.33203125" style="220" bestFit="1" customWidth="1"/>
    <col min="7694" max="7694" width="4.33203125" style="220" bestFit="1" customWidth="1"/>
    <col min="7695" max="7695" width="8.44140625" style="220" bestFit="1" customWidth="1"/>
    <col min="7696" max="7698" width="7.33203125" style="220" customWidth="1"/>
    <col min="7699" max="7936" width="11.44140625" style="220"/>
    <col min="7937" max="7937" width="1" style="220" customWidth="1"/>
    <col min="7938" max="7938" width="1.5546875" style="220" customWidth="1"/>
    <col min="7939" max="7939" width="27.5546875" style="220" bestFit="1" customWidth="1"/>
    <col min="7940" max="7940" width="21.44140625" style="220" bestFit="1" customWidth="1"/>
    <col min="7941" max="7941" width="8.44140625" style="220" bestFit="1" customWidth="1"/>
    <col min="7942" max="7942" width="8.33203125" style="220" bestFit="1" customWidth="1"/>
    <col min="7943" max="7943" width="8.44140625" style="220" bestFit="1" customWidth="1"/>
    <col min="7944" max="7944" width="9.44140625" style="220" customWidth="1"/>
    <col min="7945" max="7945" width="11" style="220" customWidth="1"/>
    <col min="7946" max="7946" width="1.5546875" style="220" customWidth="1"/>
    <col min="7947" max="7947" width="2" style="220" customWidth="1"/>
    <col min="7948" max="7948" width="38.109375" style="220" customWidth="1"/>
    <col min="7949" max="7949" width="6.33203125" style="220" bestFit="1" customWidth="1"/>
    <col min="7950" max="7950" width="4.33203125" style="220" bestFit="1" customWidth="1"/>
    <col min="7951" max="7951" width="8.44140625" style="220" bestFit="1" customWidth="1"/>
    <col min="7952" max="7954" width="7.33203125" style="220" customWidth="1"/>
    <col min="7955" max="8192" width="11.44140625" style="220"/>
    <col min="8193" max="8193" width="1" style="220" customWidth="1"/>
    <col min="8194" max="8194" width="1.5546875" style="220" customWidth="1"/>
    <col min="8195" max="8195" width="27.5546875" style="220" bestFit="1" customWidth="1"/>
    <col min="8196" max="8196" width="21.44140625" style="220" bestFit="1" customWidth="1"/>
    <col min="8197" max="8197" width="8.44140625" style="220" bestFit="1" customWidth="1"/>
    <col min="8198" max="8198" width="8.33203125" style="220" bestFit="1" customWidth="1"/>
    <col min="8199" max="8199" width="8.44140625" style="220" bestFit="1" customWidth="1"/>
    <col min="8200" max="8200" width="9.44140625" style="220" customWidth="1"/>
    <col min="8201" max="8201" width="11" style="220" customWidth="1"/>
    <col min="8202" max="8202" width="1.5546875" style="220" customWidth="1"/>
    <col min="8203" max="8203" width="2" style="220" customWidth="1"/>
    <col min="8204" max="8204" width="38.109375" style="220" customWidth="1"/>
    <col min="8205" max="8205" width="6.33203125" style="220" bestFit="1" customWidth="1"/>
    <col min="8206" max="8206" width="4.33203125" style="220" bestFit="1" customWidth="1"/>
    <col min="8207" max="8207" width="8.44140625" style="220" bestFit="1" customWidth="1"/>
    <col min="8208" max="8210" width="7.33203125" style="220" customWidth="1"/>
    <col min="8211" max="8448" width="11.44140625" style="220"/>
    <col min="8449" max="8449" width="1" style="220" customWidth="1"/>
    <col min="8450" max="8450" width="1.5546875" style="220" customWidth="1"/>
    <col min="8451" max="8451" width="27.5546875" style="220" bestFit="1" customWidth="1"/>
    <col min="8452" max="8452" width="21.44140625" style="220" bestFit="1" customWidth="1"/>
    <col min="8453" max="8453" width="8.44140625" style="220" bestFit="1" customWidth="1"/>
    <col min="8454" max="8454" width="8.33203125" style="220" bestFit="1" customWidth="1"/>
    <col min="8455" max="8455" width="8.44140625" style="220" bestFit="1" customWidth="1"/>
    <col min="8456" max="8456" width="9.44140625" style="220" customWidth="1"/>
    <col min="8457" max="8457" width="11" style="220" customWidth="1"/>
    <col min="8458" max="8458" width="1.5546875" style="220" customWidth="1"/>
    <col min="8459" max="8459" width="2" style="220" customWidth="1"/>
    <col min="8460" max="8460" width="38.109375" style="220" customWidth="1"/>
    <col min="8461" max="8461" width="6.33203125" style="220" bestFit="1" customWidth="1"/>
    <col min="8462" max="8462" width="4.33203125" style="220" bestFit="1" customWidth="1"/>
    <col min="8463" max="8463" width="8.44140625" style="220" bestFit="1" customWidth="1"/>
    <col min="8464" max="8466" width="7.33203125" style="220" customWidth="1"/>
    <col min="8467" max="8704" width="11.44140625" style="220"/>
    <col min="8705" max="8705" width="1" style="220" customWidth="1"/>
    <col min="8706" max="8706" width="1.5546875" style="220" customWidth="1"/>
    <col min="8707" max="8707" width="27.5546875" style="220" bestFit="1" customWidth="1"/>
    <col min="8708" max="8708" width="21.44140625" style="220" bestFit="1" customWidth="1"/>
    <col min="8709" max="8709" width="8.44140625" style="220" bestFit="1" customWidth="1"/>
    <col min="8710" max="8710" width="8.33203125" style="220" bestFit="1" customWidth="1"/>
    <col min="8711" max="8711" width="8.44140625" style="220" bestFit="1" customWidth="1"/>
    <col min="8712" max="8712" width="9.44140625" style="220" customWidth="1"/>
    <col min="8713" max="8713" width="11" style="220" customWidth="1"/>
    <col min="8714" max="8714" width="1.5546875" style="220" customWidth="1"/>
    <col min="8715" max="8715" width="2" style="220" customWidth="1"/>
    <col min="8716" max="8716" width="38.109375" style="220" customWidth="1"/>
    <col min="8717" max="8717" width="6.33203125" style="220" bestFit="1" customWidth="1"/>
    <col min="8718" max="8718" width="4.33203125" style="220" bestFit="1" customWidth="1"/>
    <col min="8719" max="8719" width="8.44140625" style="220" bestFit="1" customWidth="1"/>
    <col min="8720" max="8722" width="7.33203125" style="220" customWidth="1"/>
    <col min="8723" max="8960" width="11.44140625" style="220"/>
    <col min="8961" max="8961" width="1" style="220" customWidth="1"/>
    <col min="8962" max="8962" width="1.5546875" style="220" customWidth="1"/>
    <col min="8963" max="8963" width="27.5546875" style="220" bestFit="1" customWidth="1"/>
    <col min="8964" max="8964" width="21.44140625" style="220" bestFit="1" customWidth="1"/>
    <col min="8965" max="8965" width="8.44140625" style="220" bestFit="1" customWidth="1"/>
    <col min="8966" max="8966" width="8.33203125" style="220" bestFit="1" customWidth="1"/>
    <col min="8967" max="8967" width="8.44140625" style="220" bestFit="1" customWidth="1"/>
    <col min="8968" max="8968" width="9.44140625" style="220" customWidth="1"/>
    <col min="8969" max="8969" width="11" style="220" customWidth="1"/>
    <col min="8970" max="8970" width="1.5546875" style="220" customWidth="1"/>
    <col min="8971" max="8971" width="2" style="220" customWidth="1"/>
    <col min="8972" max="8972" width="38.109375" style="220" customWidth="1"/>
    <col min="8973" max="8973" width="6.33203125" style="220" bestFit="1" customWidth="1"/>
    <col min="8974" max="8974" width="4.33203125" style="220" bestFit="1" customWidth="1"/>
    <col min="8975" max="8975" width="8.44140625" style="220" bestFit="1" customWidth="1"/>
    <col min="8976" max="8978" width="7.33203125" style="220" customWidth="1"/>
    <col min="8979" max="9216" width="11.44140625" style="220"/>
    <col min="9217" max="9217" width="1" style="220" customWidth="1"/>
    <col min="9218" max="9218" width="1.5546875" style="220" customWidth="1"/>
    <col min="9219" max="9219" width="27.5546875" style="220" bestFit="1" customWidth="1"/>
    <col min="9220" max="9220" width="21.44140625" style="220" bestFit="1" customWidth="1"/>
    <col min="9221" max="9221" width="8.44140625" style="220" bestFit="1" customWidth="1"/>
    <col min="9222" max="9222" width="8.33203125" style="220" bestFit="1" customWidth="1"/>
    <col min="9223" max="9223" width="8.44140625" style="220" bestFit="1" customWidth="1"/>
    <col min="9224" max="9224" width="9.44140625" style="220" customWidth="1"/>
    <col min="9225" max="9225" width="11" style="220" customWidth="1"/>
    <col min="9226" max="9226" width="1.5546875" style="220" customWidth="1"/>
    <col min="9227" max="9227" width="2" style="220" customWidth="1"/>
    <col min="9228" max="9228" width="38.109375" style="220" customWidth="1"/>
    <col min="9229" max="9229" width="6.33203125" style="220" bestFit="1" customWidth="1"/>
    <col min="9230" max="9230" width="4.33203125" style="220" bestFit="1" customWidth="1"/>
    <col min="9231" max="9231" width="8.44140625" style="220" bestFit="1" customWidth="1"/>
    <col min="9232" max="9234" width="7.33203125" style="220" customWidth="1"/>
    <col min="9235" max="9472" width="11.44140625" style="220"/>
    <col min="9473" max="9473" width="1" style="220" customWidth="1"/>
    <col min="9474" max="9474" width="1.5546875" style="220" customWidth="1"/>
    <col min="9475" max="9475" width="27.5546875" style="220" bestFit="1" customWidth="1"/>
    <col min="9476" max="9476" width="21.44140625" style="220" bestFit="1" customWidth="1"/>
    <col min="9477" max="9477" width="8.44140625" style="220" bestFit="1" customWidth="1"/>
    <col min="9478" max="9478" width="8.33203125" style="220" bestFit="1" customWidth="1"/>
    <col min="9479" max="9479" width="8.44140625" style="220" bestFit="1" customWidth="1"/>
    <col min="9480" max="9480" width="9.44140625" style="220" customWidth="1"/>
    <col min="9481" max="9481" width="11" style="220" customWidth="1"/>
    <col min="9482" max="9482" width="1.5546875" style="220" customWidth="1"/>
    <col min="9483" max="9483" width="2" style="220" customWidth="1"/>
    <col min="9484" max="9484" width="38.109375" style="220" customWidth="1"/>
    <col min="9485" max="9485" width="6.33203125" style="220" bestFit="1" customWidth="1"/>
    <col min="9486" max="9486" width="4.33203125" style="220" bestFit="1" customWidth="1"/>
    <col min="9487" max="9487" width="8.44140625" style="220" bestFit="1" customWidth="1"/>
    <col min="9488" max="9490" width="7.33203125" style="220" customWidth="1"/>
    <col min="9491" max="9728" width="11.44140625" style="220"/>
    <col min="9729" max="9729" width="1" style="220" customWidth="1"/>
    <col min="9730" max="9730" width="1.5546875" style="220" customWidth="1"/>
    <col min="9731" max="9731" width="27.5546875" style="220" bestFit="1" customWidth="1"/>
    <col min="9732" max="9732" width="21.44140625" style="220" bestFit="1" customWidth="1"/>
    <col min="9733" max="9733" width="8.44140625" style="220" bestFit="1" customWidth="1"/>
    <col min="9734" max="9734" width="8.33203125" style="220" bestFit="1" customWidth="1"/>
    <col min="9735" max="9735" width="8.44140625" style="220" bestFit="1" customWidth="1"/>
    <col min="9736" max="9736" width="9.44140625" style="220" customWidth="1"/>
    <col min="9737" max="9737" width="11" style="220" customWidth="1"/>
    <col min="9738" max="9738" width="1.5546875" style="220" customWidth="1"/>
    <col min="9739" max="9739" width="2" style="220" customWidth="1"/>
    <col min="9740" max="9740" width="38.109375" style="220" customWidth="1"/>
    <col min="9741" max="9741" width="6.33203125" style="220" bestFit="1" customWidth="1"/>
    <col min="9742" max="9742" width="4.33203125" style="220" bestFit="1" customWidth="1"/>
    <col min="9743" max="9743" width="8.44140625" style="220" bestFit="1" customWidth="1"/>
    <col min="9744" max="9746" width="7.33203125" style="220" customWidth="1"/>
    <col min="9747" max="9984" width="11.44140625" style="220"/>
    <col min="9985" max="9985" width="1" style="220" customWidth="1"/>
    <col min="9986" max="9986" width="1.5546875" style="220" customWidth="1"/>
    <col min="9987" max="9987" width="27.5546875" style="220" bestFit="1" customWidth="1"/>
    <col min="9988" max="9988" width="21.44140625" style="220" bestFit="1" customWidth="1"/>
    <col min="9989" max="9989" width="8.44140625" style="220" bestFit="1" customWidth="1"/>
    <col min="9990" max="9990" width="8.33203125" style="220" bestFit="1" customWidth="1"/>
    <col min="9991" max="9991" width="8.44140625" style="220" bestFit="1" customWidth="1"/>
    <col min="9992" max="9992" width="9.44140625" style="220" customWidth="1"/>
    <col min="9993" max="9993" width="11" style="220" customWidth="1"/>
    <col min="9994" max="9994" width="1.5546875" style="220" customWidth="1"/>
    <col min="9995" max="9995" width="2" style="220" customWidth="1"/>
    <col min="9996" max="9996" width="38.109375" style="220" customWidth="1"/>
    <col min="9997" max="9997" width="6.33203125" style="220" bestFit="1" customWidth="1"/>
    <col min="9998" max="9998" width="4.33203125" style="220" bestFit="1" customWidth="1"/>
    <col min="9999" max="9999" width="8.44140625" style="220" bestFit="1" customWidth="1"/>
    <col min="10000" max="10002" width="7.33203125" style="220" customWidth="1"/>
    <col min="10003" max="10240" width="11.44140625" style="220"/>
    <col min="10241" max="10241" width="1" style="220" customWidth="1"/>
    <col min="10242" max="10242" width="1.5546875" style="220" customWidth="1"/>
    <col min="10243" max="10243" width="27.5546875" style="220" bestFit="1" customWidth="1"/>
    <col min="10244" max="10244" width="21.44140625" style="220" bestFit="1" customWidth="1"/>
    <col min="10245" max="10245" width="8.44140625" style="220" bestFit="1" customWidth="1"/>
    <col min="10246" max="10246" width="8.33203125" style="220" bestFit="1" customWidth="1"/>
    <col min="10247" max="10247" width="8.44140625" style="220" bestFit="1" customWidth="1"/>
    <col min="10248" max="10248" width="9.44140625" style="220" customWidth="1"/>
    <col min="10249" max="10249" width="11" style="220" customWidth="1"/>
    <col min="10250" max="10250" width="1.5546875" style="220" customWidth="1"/>
    <col min="10251" max="10251" width="2" style="220" customWidth="1"/>
    <col min="10252" max="10252" width="38.109375" style="220" customWidth="1"/>
    <col min="10253" max="10253" width="6.33203125" style="220" bestFit="1" customWidth="1"/>
    <col min="10254" max="10254" width="4.33203125" style="220" bestFit="1" customWidth="1"/>
    <col min="10255" max="10255" width="8.44140625" style="220" bestFit="1" customWidth="1"/>
    <col min="10256" max="10258" width="7.33203125" style="220" customWidth="1"/>
    <col min="10259" max="10496" width="11.44140625" style="220"/>
    <col min="10497" max="10497" width="1" style="220" customWidth="1"/>
    <col min="10498" max="10498" width="1.5546875" style="220" customWidth="1"/>
    <col min="10499" max="10499" width="27.5546875" style="220" bestFit="1" customWidth="1"/>
    <col min="10500" max="10500" width="21.44140625" style="220" bestFit="1" customWidth="1"/>
    <col min="10501" max="10501" width="8.44140625" style="220" bestFit="1" customWidth="1"/>
    <col min="10502" max="10502" width="8.33203125" style="220" bestFit="1" customWidth="1"/>
    <col min="10503" max="10503" width="8.44140625" style="220" bestFit="1" customWidth="1"/>
    <col min="10504" max="10504" width="9.44140625" style="220" customWidth="1"/>
    <col min="10505" max="10505" width="11" style="220" customWidth="1"/>
    <col min="10506" max="10506" width="1.5546875" style="220" customWidth="1"/>
    <col min="10507" max="10507" width="2" style="220" customWidth="1"/>
    <col min="10508" max="10508" width="38.109375" style="220" customWidth="1"/>
    <col min="10509" max="10509" width="6.33203125" style="220" bestFit="1" customWidth="1"/>
    <col min="10510" max="10510" width="4.33203125" style="220" bestFit="1" customWidth="1"/>
    <col min="10511" max="10511" width="8.44140625" style="220" bestFit="1" customWidth="1"/>
    <col min="10512" max="10514" width="7.33203125" style="220" customWidth="1"/>
    <col min="10515" max="10752" width="11.44140625" style="220"/>
    <col min="10753" max="10753" width="1" style="220" customWidth="1"/>
    <col min="10754" max="10754" width="1.5546875" style="220" customWidth="1"/>
    <col min="10755" max="10755" width="27.5546875" style="220" bestFit="1" customWidth="1"/>
    <col min="10756" max="10756" width="21.44140625" style="220" bestFit="1" customWidth="1"/>
    <col min="10757" max="10757" width="8.44140625" style="220" bestFit="1" customWidth="1"/>
    <col min="10758" max="10758" width="8.33203125" style="220" bestFit="1" customWidth="1"/>
    <col min="10759" max="10759" width="8.44140625" style="220" bestFit="1" customWidth="1"/>
    <col min="10760" max="10760" width="9.44140625" style="220" customWidth="1"/>
    <col min="10761" max="10761" width="11" style="220" customWidth="1"/>
    <col min="10762" max="10762" width="1.5546875" style="220" customWidth="1"/>
    <col min="10763" max="10763" width="2" style="220" customWidth="1"/>
    <col min="10764" max="10764" width="38.109375" style="220" customWidth="1"/>
    <col min="10765" max="10765" width="6.33203125" style="220" bestFit="1" customWidth="1"/>
    <col min="10766" max="10766" width="4.33203125" style="220" bestFit="1" customWidth="1"/>
    <col min="10767" max="10767" width="8.44140625" style="220" bestFit="1" customWidth="1"/>
    <col min="10768" max="10770" width="7.33203125" style="220" customWidth="1"/>
    <col min="10771" max="11008" width="11.44140625" style="220"/>
    <col min="11009" max="11009" width="1" style="220" customWidth="1"/>
    <col min="11010" max="11010" width="1.5546875" style="220" customWidth="1"/>
    <col min="11011" max="11011" width="27.5546875" style="220" bestFit="1" customWidth="1"/>
    <col min="11012" max="11012" width="21.44140625" style="220" bestFit="1" customWidth="1"/>
    <col min="11013" max="11013" width="8.44140625" style="220" bestFit="1" customWidth="1"/>
    <col min="11014" max="11014" width="8.33203125" style="220" bestFit="1" customWidth="1"/>
    <col min="11015" max="11015" width="8.44140625" style="220" bestFit="1" customWidth="1"/>
    <col min="11016" max="11016" width="9.44140625" style="220" customWidth="1"/>
    <col min="11017" max="11017" width="11" style="220" customWidth="1"/>
    <col min="11018" max="11018" width="1.5546875" style="220" customWidth="1"/>
    <col min="11019" max="11019" width="2" style="220" customWidth="1"/>
    <col min="11020" max="11020" width="38.109375" style="220" customWidth="1"/>
    <col min="11021" max="11021" width="6.33203125" style="220" bestFit="1" customWidth="1"/>
    <col min="11022" max="11022" width="4.33203125" style="220" bestFit="1" customWidth="1"/>
    <col min="11023" max="11023" width="8.44140625" style="220" bestFit="1" customWidth="1"/>
    <col min="11024" max="11026" width="7.33203125" style="220" customWidth="1"/>
    <col min="11027" max="11264" width="11.44140625" style="220"/>
    <col min="11265" max="11265" width="1" style="220" customWidth="1"/>
    <col min="11266" max="11266" width="1.5546875" style="220" customWidth="1"/>
    <col min="11267" max="11267" width="27.5546875" style="220" bestFit="1" customWidth="1"/>
    <col min="11268" max="11268" width="21.44140625" style="220" bestFit="1" customWidth="1"/>
    <col min="11269" max="11269" width="8.44140625" style="220" bestFit="1" customWidth="1"/>
    <col min="11270" max="11270" width="8.33203125" style="220" bestFit="1" customWidth="1"/>
    <col min="11271" max="11271" width="8.44140625" style="220" bestFit="1" customWidth="1"/>
    <col min="11272" max="11272" width="9.44140625" style="220" customWidth="1"/>
    <col min="11273" max="11273" width="11" style="220" customWidth="1"/>
    <col min="11274" max="11274" width="1.5546875" style="220" customWidth="1"/>
    <col min="11275" max="11275" width="2" style="220" customWidth="1"/>
    <col min="11276" max="11276" width="38.109375" style="220" customWidth="1"/>
    <col min="11277" max="11277" width="6.33203125" style="220" bestFit="1" customWidth="1"/>
    <col min="11278" max="11278" width="4.33203125" style="220" bestFit="1" customWidth="1"/>
    <col min="11279" max="11279" width="8.44140625" style="220" bestFit="1" customWidth="1"/>
    <col min="11280" max="11282" width="7.33203125" style="220" customWidth="1"/>
    <col min="11283" max="11520" width="11.44140625" style="220"/>
    <col min="11521" max="11521" width="1" style="220" customWidth="1"/>
    <col min="11522" max="11522" width="1.5546875" style="220" customWidth="1"/>
    <col min="11523" max="11523" width="27.5546875" style="220" bestFit="1" customWidth="1"/>
    <col min="11524" max="11524" width="21.44140625" style="220" bestFit="1" customWidth="1"/>
    <col min="11525" max="11525" width="8.44140625" style="220" bestFit="1" customWidth="1"/>
    <col min="11526" max="11526" width="8.33203125" style="220" bestFit="1" customWidth="1"/>
    <col min="11527" max="11527" width="8.44140625" style="220" bestFit="1" customWidth="1"/>
    <col min="11528" max="11528" width="9.44140625" style="220" customWidth="1"/>
    <col min="11529" max="11529" width="11" style="220" customWidth="1"/>
    <col min="11530" max="11530" width="1.5546875" style="220" customWidth="1"/>
    <col min="11531" max="11531" width="2" style="220" customWidth="1"/>
    <col min="11532" max="11532" width="38.109375" style="220" customWidth="1"/>
    <col min="11533" max="11533" width="6.33203125" style="220" bestFit="1" customWidth="1"/>
    <col min="11534" max="11534" width="4.33203125" style="220" bestFit="1" customWidth="1"/>
    <col min="11535" max="11535" width="8.44140625" style="220" bestFit="1" customWidth="1"/>
    <col min="11536" max="11538" width="7.33203125" style="220" customWidth="1"/>
    <col min="11539" max="11776" width="11.44140625" style="220"/>
    <col min="11777" max="11777" width="1" style="220" customWidth="1"/>
    <col min="11778" max="11778" width="1.5546875" style="220" customWidth="1"/>
    <col min="11779" max="11779" width="27.5546875" style="220" bestFit="1" customWidth="1"/>
    <col min="11780" max="11780" width="21.44140625" style="220" bestFit="1" customWidth="1"/>
    <col min="11781" max="11781" width="8.44140625" style="220" bestFit="1" customWidth="1"/>
    <col min="11782" max="11782" width="8.33203125" style="220" bestFit="1" customWidth="1"/>
    <col min="11783" max="11783" width="8.44140625" style="220" bestFit="1" customWidth="1"/>
    <col min="11784" max="11784" width="9.44140625" style="220" customWidth="1"/>
    <col min="11785" max="11785" width="11" style="220" customWidth="1"/>
    <col min="11786" max="11786" width="1.5546875" style="220" customWidth="1"/>
    <col min="11787" max="11787" width="2" style="220" customWidth="1"/>
    <col min="11788" max="11788" width="38.109375" style="220" customWidth="1"/>
    <col min="11789" max="11789" width="6.33203125" style="220" bestFit="1" customWidth="1"/>
    <col min="11790" max="11790" width="4.33203125" style="220" bestFit="1" customWidth="1"/>
    <col min="11791" max="11791" width="8.44140625" style="220" bestFit="1" customWidth="1"/>
    <col min="11792" max="11794" width="7.33203125" style="220" customWidth="1"/>
    <col min="11795" max="12032" width="11.44140625" style="220"/>
    <col min="12033" max="12033" width="1" style="220" customWidth="1"/>
    <col min="12034" max="12034" width="1.5546875" style="220" customWidth="1"/>
    <col min="12035" max="12035" width="27.5546875" style="220" bestFit="1" customWidth="1"/>
    <col min="12036" max="12036" width="21.44140625" style="220" bestFit="1" customWidth="1"/>
    <col min="12037" max="12037" width="8.44140625" style="220" bestFit="1" customWidth="1"/>
    <col min="12038" max="12038" width="8.33203125" style="220" bestFit="1" customWidth="1"/>
    <col min="12039" max="12039" width="8.44140625" style="220" bestFit="1" customWidth="1"/>
    <col min="12040" max="12040" width="9.44140625" style="220" customWidth="1"/>
    <col min="12041" max="12041" width="11" style="220" customWidth="1"/>
    <col min="12042" max="12042" width="1.5546875" style="220" customWidth="1"/>
    <col min="12043" max="12043" width="2" style="220" customWidth="1"/>
    <col min="12044" max="12044" width="38.109375" style="220" customWidth="1"/>
    <col min="12045" max="12045" width="6.33203125" style="220" bestFit="1" customWidth="1"/>
    <col min="12046" max="12046" width="4.33203125" style="220" bestFit="1" customWidth="1"/>
    <col min="12047" max="12047" width="8.44140625" style="220" bestFit="1" customWidth="1"/>
    <col min="12048" max="12050" width="7.33203125" style="220" customWidth="1"/>
    <col min="12051" max="12288" width="11.44140625" style="220"/>
    <col min="12289" max="12289" width="1" style="220" customWidth="1"/>
    <col min="12290" max="12290" width="1.5546875" style="220" customWidth="1"/>
    <col min="12291" max="12291" width="27.5546875" style="220" bestFit="1" customWidth="1"/>
    <col min="12292" max="12292" width="21.44140625" style="220" bestFit="1" customWidth="1"/>
    <col min="12293" max="12293" width="8.44140625" style="220" bestFit="1" customWidth="1"/>
    <col min="12294" max="12294" width="8.33203125" style="220" bestFit="1" customWidth="1"/>
    <col min="12295" max="12295" width="8.44140625" style="220" bestFit="1" customWidth="1"/>
    <col min="12296" max="12296" width="9.44140625" style="220" customWidth="1"/>
    <col min="12297" max="12297" width="11" style="220" customWidth="1"/>
    <col min="12298" max="12298" width="1.5546875" style="220" customWidth="1"/>
    <col min="12299" max="12299" width="2" style="220" customWidth="1"/>
    <col min="12300" max="12300" width="38.109375" style="220" customWidth="1"/>
    <col min="12301" max="12301" width="6.33203125" style="220" bestFit="1" customWidth="1"/>
    <col min="12302" max="12302" width="4.33203125" style="220" bestFit="1" customWidth="1"/>
    <col min="12303" max="12303" width="8.44140625" style="220" bestFit="1" customWidth="1"/>
    <col min="12304" max="12306" width="7.33203125" style="220" customWidth="1"/>
    <col min="12307" max="12544" width="11.44140625" style="220"/>
    <col min="12545" max="12545" width="1" style="220" customWidth="1"/>
    <col min="12546" max="12546" width="1.5546875" style="220" customWidth="1"/>
    <col min="12547" max="12547" width="27.5546875" style="220" bestFit="1" customWidth="1"/>
    <col min="12548" max="12548" width="21.44140625" style="220" bestFit="1" customWidth="1"/>
    <col min="12549" max="12549" width="8.44140625" style="220" bestFit="1" customWidth="1"/>
    <col min="12550" max="12550" width="8.33203125" style="220" bestFit="1" customWidth="1"/>
    <col min="12551" max="12551" width="8.44140625" style="220" bestFit="1" customWidth="1"/>
    <col min="12552" max="12552" width="9.44140625" style="220" customWidth="1"/>
    <col min="12553" max="12553" width="11" style="220" customWidth="1"/>
    <col min="12554" max="12554" width="1.5546875" style="220" customWidth="1"/>
    <col min="12555" max="12555" width="2" style="220" customWidth="1"/>
    <col min="12556" max="12556" width="38.109375" style="220" customWidth="1"/>
    <col min="12557" max="12557" width="6.33203125" style="220" bestFit="1" customWidth="1"/>
    <col min="12558" max="12558" width="4.33203125" style="220" bestFit="1" customWidth="1"/>
    <col min="12559" max="12559" width="8.44140625" style="220" bestFit="1" customWidth="1"/>
    <col min="12560" max="12562" width="7.33203125" style="220" customWidth="1"/>
    <col min="12563" max="12800" width="11.44140625" style="220"/>
    <col min="12801" max="12801" width="1" style="220" customWidth="1"/>
    <col min="12802" max="12802" width="1.5546875" style="220" customWidth="1"/>
    <col min="12803" max="12803" width="27.5546875" style="220" bestFit="1" customWidth="1"/>
    <col min="12804" max="12804" width="21.44140625" style="220" bestFit="1" customWidth="1"/>
    <col min="12805" max="12805" width="8.44140625" style="220" bestFit="1" customWidth="1"/>
    <col min="12806" max="12806" width="8.33203125" style="220" bestFit="1" customWidth="1"/>
    <col min="12807" max="12807" width="8.44140625" style="220" bestFit="1" customWidth="1"/>
    <col min="12808" max="12808" width="9.44140625" style="220" customWidth="1"/>
    <col min="12809" max="12809" width="11" style="220" customWidth="1"/>
    <col min="12810" max="12810" width="1.5546875" style="220" customWidth="1"/>
    <col min="12811" max="12811" width="2" style="220" customWidth="1"/>
    <col min="12812" max="12812" width="38.109375" style="220" customWidth="1"/>
    <col min="12813" max="12813" width="6.33203125" style="220" bestFit="1" customWidth="1"/>
    <col min="12814" max="12814" width="4.33203125" style="220" bestFit="1" customWidth="1"/>
    <col min="12815" max="12815" width="8.44140625" style="220" bestFit="1" customWidth="1"/>
    <col min="12816" max="12818" width="7.33203125" style="220" customWidth="1"/>
    <col min="12819" max="13056" width="11.44140625" style="220"/>
    <col min="13057" max="13057" width="1" style="220" customWidth="1"/>
    <col min="13058" max="13058" width="1.5546875" style="220" customWidth="1"/>
    <col min="13059" max="13059" width="27.5546875" style="220" bestFit="1" customWidth="1"/>
    <col min="13060" max="13060" width="21.44140625" style="220" bestFit="1" customWidth="1"/>
    <col min="13061" max="13061" width="8.44140625" style="220" bestFit="1" customWidth="1"/>
    <col min="13062" max="13062" width="8.33203125" style="220" bestFit="1" customWidth="1"/>
    <col min="13063" max="13063" width="8.44140625" style="220" bestFit="1" customWidth="1"/>
    <col min="13064" max="13064" width="9.44140625" style="220" customWidth="1"/>
    <col min="13065" max="13065" width="11" style="220" customWidth="1"/>
    <col min="13066" max="13066" width="1.5546875" style="220" customWidth="1"/>
    <col min="13067" max="13067" width="2" style="220" customWidth="1"/>
    <col min="13068" max="13068" width="38.109375" style="220" customWidth="1"/>
    <col min="13069" max="13069" width="6.33203125" style="220" bestFit="1" customWidth="1"/>
    <col min="13070" max="13070" width="4.33203125" style="220" bestFit="1" customWidth="1"/>
    <col min="13071" max="13071" width="8.44140625" style="220" bestFit="1" customWidth="1"/>
    <col min="13072" max="13074" width="7.33203125" style="220" customWidth="1"/>
    <col min="13075" max="13312" width="11.44140625" style="220"/>
    <col min="13313" max="13313" width="1" style="220" customWidth="1"/>
    <col min="13314" max="13314" width="1.5546875" style="220" customWidth="1"/>
    <col min="13315" max="13315" width="27.5546875" style="220" bestFit="1" customWidth="1"/>
    <col min="13316" max="13316" width="21.44140625" style="220" bestFit="1" customWidth="1"/>
    <col min="13317" max="13317" width="8.44140625" style="220" bestFit="1" customWidth="1"/>
    <col min="13318" max="13318" width="8.33203125" style="220" bestFit="1" customWidth="1"/>
    <col min="13319" max="13319" width="8.44140625" style="220" bestFit="1" customWidth="1"/>
    <col min="13320" max="13320" width="9.44140625" style="220" customWidth="1"/>
    <col min="13321" max="13321" width="11" style="220" customWidth="1"/>
    <col min="13322" max="13322" width="1.5546875" style="220" customWidth="1"/>
    <col min="13323" max="13323" width="2" style="220" customWidth="1"/>
    <col min="13324" max="13324" width="38.109375" style="220" customWidth="1"/>
    <col min="13325" max="13325" width="6.33203125" style="220" bestFit="1" customWidth="1"/>
    <col min="13326" max="13326" width="4.33203125" style="220" bestFit="1" customWidth="1"/>
    <col min="13327" max="13327" width="8.44140625" style="220" bestFit="1" customWidth="1"/>
    <col min="13328" max="13330" width="7.33203125" style="220" customWidth="1"/>
    <col min="13331" max="13568" width="11.44140625" style="220"/>
    <col min="13569" max="13569" width="1" style="220" customWidth="1"/>
    <col min="13570" max="13570" width="1.5546875" style="220" customWidth="1"/>
    <col min="13571" max="13571" width="27.5546875" style="220" bestFit="1" customWidth="1"/>
    <col min="13572" max="13572" width="21.44140625" style="220" bestFit="1" customWidth="1"/>
    <col min="13573" max="13573" width="8.44140625" style="220" bestFit="1" customWidth="1"/>
    <col min="13574" max="13574" width="8.33203125" style="220" bestFit="1" customWidth="1"/>
    <col min="13575" max="13575" width="8.44140625" style="220" bestFit="1" customWidth="1"/>
    <col min="13576" max="13576" width="9.44140625" style="220" customWidth="1"/>
    <col min="13577" max="13577" width="11" style="220" customWidth="1"/>
    <col min="13578" max="13578" width="1.5546875" style="220" customWidth="1"/>
    <col min="13579" max="13579" width="2" style="220" customWidth="1"/>
    <col min="13580" max="13580" width="38.109375" style="220" customWidth="1"/>
    <col min="13581" max="13581" width="6.33203125" style="220" bestFit="1" customWidth="1"/>
    <col min="13582" max="13582" width="4.33203125" style="220" bestFit="1" customWidth="1"/>
    <col min="13583" max="13583" width="8.44140625" style="220" bestFit="1" customWidth="1"/>
    <col min="13584" max="13586" width="7.33203125" style="220" customWidth="1"/>
    <col min="13587" max="13824" width="11.44140625" style="220"/>
    <col min="13825" max="13825" width="1" style="220" customWidth="1"/>
    <col min="13826" max="13826" width="1.5546875" style="220" customWidth="1"/>
    <col min="13827" max="13827" width="27.5546875" style="220" bestFit="1" customWidth="1"/>
    <col min="13828" max="13828" width="21.44140625" style="220" bestFit="1" customWidth="1"/>
    <col min="13829" max="13829" width="8.44140625" style="220" bestFit="1" customWidth="1"/>
    <col min="13830" max="13830" width="8.33203125" style="220" bestFit="1" customWidth="1"/>
    <col min="13831" max="13831" width="8.44140625" style="220" bestFit="1" customWidth="1"/>
    <col min="13832" max="13832" width="9.44140625" style="220" customWidth="1"/>
    <col min="13833" max="13833" width="11" style="220" customWidth="1"/>
    <col min="13834" max="13834" width="1.5546875" style="220" customWidth="1"/>
    <col min="13835" max="13835" width="2" style="220" customWidth="1"/>
    <col min="13836" max="13836" width="38.109375" style="220" customWidth="1"/>
    <col min="13837" max="13837" width="6.33203125" style="220" bestFit="1" customWidth="1"/>
    <col min="13838" max="13838" width="4.33203125" style="220" bestFit="1" customWidth="1"/>
    <col min="13839" max="13839" width="8.44140625" style="220" bestFit="1" customWidth="1"/>
    <col min="13840" max="13842" width="7.33203125" style="220" customWidth="1"/>
    <col min="13843" max="14080" width="11.44140625" style="220"/>
    <col min="14081" max="14081" width="1" style="220" customWidth="1"/>
    <col min="14082" max="14082" width="1.5546875" style="220" customWidth="1"/>
    <col min="14083" max="14083" width="27.5546875" style="220" bestFit="1" customWidth="1"/>
    <col min="14084" max="14084" width="21.44140625" style="220" bestFit="1" customWidth="1"/>
    <col min="14085" max="14085" width="8.44140625" style="220" bestFit="1" customWidth="1"/>
    <col min="14086" max="14086" width="8.33203125" style="220" bestFit="1" customWidth="1"/>
    <col min="14087" max="14087" width="8.44140625" style="220" bestFit="1" customWidth="1"/>
    <col min="14088" max="14088" width="9.44140625" style="220" customWidth="1"/>
    <col min="14089" max="14089" width="11" style="220" customWidth="1"/>
    <col min="14090" max="14090" width="1.5546875" style="220" customWidth="1"/>
    <col min="14091" max="14091" width="2" style="220" customWidth="1"/>
    <col min="14092" max="14092" width="38.109375" style="220" customWidth="1"/>
    <col min="14093" max="14093" width="6.33203125" style="220" bestFit="1" customWidth="1"/>
    <col min="14094" max="14094" width="4.33203125" style="220" bestFit="1" customWidth="1"/>
    <col min="14095" max="14095" width="8.44140625" style="220" bestFit="1" customWidth="1"/>
    <col min="14096" max="14098" width="7.33203125" style="220" customWidth="1"/>
    <col min="14099" max="14336" width="11.44140625" style="220"/>
    <col min="14337" max="14337" width="1" style="220" customWidth="1"/>
    <col min="14338" max="14338" width="1.5546875" style="220" customWidth="1"/>
    <col min="14339" max="14339" width="27.5546875" style="220" bestFit="1" customWidth="1"/>
    <col min="14340" max="14340" width="21.44140625" style="220" bestFit="1" customWidth="1"/>
    <col min="14341" max="14341" width="8.44140625" style="220" bestFit="1" customWidth="1"/>
    <col min="14342" max="14342" width="8.33203125" style="220" bestFit="1" customWidth="1"/>
    <col min="14343" max="14343" width="8.44140625" style="220" bestFit="1" customWidth="1"/>
    <col min="14344" max="14344" width="9.44140625" style="220" customWidth="1"/>
    <col min="14345" max="14345" width="11" style="220" customWidth="1"/>
    <col min="14346" max="14346" width="1.5546875" style="220" customWidth="1"/>
    <col min="14347" max="14347" width="2" style="220" customWidth="1"/>
    <col min="14348" max="14348" width="38.109375" style="220" customWidth="1"/>
    <col min="14349" max="14349" width="6.33203125" style="220" bestFit="1" customWidth="1"/>
    <col min="14350" max="14350" width="4.33203125" style="220" bestFit="1" customWidth="1"/>
    <col min="14351" max="14351" width="8.44140625" style="220" bestFit="1" customWidth="1"/>
    <col min="14352" max="14354" width="7.33203125" style="220" customWidth="1"/>
    <col min="14355" max="14592" width="11.44140625" style="220"/>
    <col min="14593" max="14593" width="1" style="220" customWidth="1"/>
    <col min="14594" max="14594" width="1.5546875" style="220" customWidth="1"/>
    <col min="14595" max="14595" width="27.5546875" style="220" bestFit="1" customWidth="1"/>
    <col min="14596" max="14596" width="21.44140625" style="220" bestFit="1" customWidth="1"/>
    <col min="14597" max="14597" width="8.44140625" style="220" bestFit="1" customWidth="1"/>
    <col min="14598" max="14598" width="8.33203125" style="220" bestFit="1" customWidth="1"/>
    <col min="14599" max="14599" width="8.44140625" style="220" bestFit="1" customWidth="1"/>
    <col min="14600" max="14600" width="9.44140625" style="220" customWidth="1"/>
    <col min="14601" max="14601" width="11" style="220" customWidth="1"/>
    <col min="14602" max="14602" width="1.5546875" style="220" customWidth="1"/>
    <col min="14603" max="14603" width="2" style="220" customWidth="1"/>
    <col min="14604" max="14604" width="38.109375" style="220" customWidth="1"/>
    <col min="14605" max="14605" width="6.33203125" style="220" bestFit="1" customWidth="1"/>
    <col min="14606" max="14606" width="4.33203125" style="220" bestFit="1" customWidth="1"/>
    <col min="14607" max="14607" width="8.44140625" style="220" bestFit="1" customWidth="1"/>
    <col min="14608" max="14610" width="7.33203125" style="220" customWidth="1"/>
    <col min="14611" max="14848" width="11.44140625" style="220"/>
    <col min="14849" max="14849" width="1" style="220" customWidth="1"/>
    <col min="14850" max="14850" width="1.5546875" style="220" customWidth="1"/>
    <col min="14851" max="14851" width="27.5546875" style="220" bestFit="1" customWidth="1"/>
    <col min="14852" max="14852" width="21.44140625" style="220" bestFit="1" customWidth="1"/>
    <col min="14853" max="14853" width="8.44140625" style="220" bestFit="1" customWidth="1"/>
    <col min="14854" max="14854" width="8.33203125" style="220" bestFit="1" customWidth="1"/>
    <col min="14855" max="14855" width="8.44140625" style="220" bestFit="1" customWidth="1"/>
    <col min="14856" max="14856" width="9.44140625" style="220" customWidth="1"/>
    <col min="14857" max="14857" width="11" style="220" customWidth="1"/>
    <col min="14858" max="14858" width="1.5546875" style="220" customWidth="1"/>
    <col min="14859" max="14859" width="2" style="220" customWidth="1"/>
    <col min="14860" max="14860" width="38.109375" style="220" customWidth="1"/>
    <col min="14861" max="14861" width="6.33203125" style="220" bestFit="1" customWidth="1"/>
    <col min="14862" max="14862" width="4.33203125" style="220" bestFit="1" customWidth="1"/>
    <col min="14863" max="14863" width="8.44140625" style="220" bestFit="1" customWidth="1"/>
    <col min="14864" max="14866" width="7.33203125" style="220" customWidth="1"/>
    <col min="14867" max="15104" width="11.44140625" style="220"/>
    <col min="15105" max="15105" width="1" style="220" customWidth="1"/>
    <col min="15106" max="15106" width="1.5546875" style="220" customWidth="1"/>
    <col min="15107" max="15107" width="27.5546875" style="220" bestFit="1" customWidth="1"/>
    <col min="15108" max="15108" width="21.44140625" style="220" bestFit="1" customWidth="1"/>
    <col min="15109" max="15109" width="8.44140625" style="220" bestFit="1" customWidth="1"/>
    <col min="15110" max="15110" width="8.33203125" style="220" bestFit="1" customWidth="1"/>
    <col min="15111" max="15111" width="8.44140625" style="220" bestFit="1" customWidth="1"/>
    <col min="15112" max="15112" width="9.44140625" style="220" customWidth="1"/>
    <col min="15113" max="15113" width="11" style="220" customWidth="1"/>
    <col min="15114" max="15114" width="1.5546875" style="220" customWidth="1"/>
    <col min="15115" max="15115" width="2" style="220" customWidth="1"/>
    <col min="15116" max="15116" width="38.109375" style="220" customWidth="1"/>
    <col min="15117" max="15117" width="6.33203125" style="220" bestFit="1" customWidth="1"/>
    <col min="15118" max="15118" width="4.33203125" style="220" bestFit="1" customWidth="1"/>
    <col min="15119" max="15119" width="8.44140625" style="220" bestFit="1" customWidth="1"/>
    <col min="15120" max="15122" width="7.33203125" style="220" customWidth="1"/>
    <col min="15123" max="15360" width="11.44140625" style="220"/>
    <col min="15361" max="15361" width="1" style="220" customWidth="1"/>
    <col min="15362" max="15362" width="1.5546875" style="220" customWidth="1"/>
    <col min="15363" max="15363" width="27.5546875" style="220" bestFit="1" customWidth="1"/>
    <col min="15364" max="15364" width="21.44140625" style="220" bestFit="1" customWidth="1"/>
    <col min="15365" max="15365" width="8.44140625" style="220" bestFit="1" customWidth="1"/>
    <col min="15366" max="15366" width="8.33203125" style="220" bestFit="1" customWidth="1"/>
    <col min="15367" max="15367" width="8.44140625" style="220" bestFit="1" customWidth="1"/>
    <col min="15368" max="15368" width="9.44140625" style="220" customWidth="1"/>
    <col min="15369" max="15369" width="11" style="220" customWidth="1"/>
    <col min="15370" max="15370" width="1.5546875" style="220" customWidth="1"/>
    <col min="15371" max="15371" width="2" style="220" customWidth="1"/>
    <col min="15372" max="15372" width="38.109375" style="220" customWidth="1"/>
    <col min="15373" max="15373" width="6.33203125" style="220" bestFit="1" customWidth="1"/>
    <col min="15374" max="15374" width="4.33203125" style="220" bestFit="1" customWidth="1"/>
    <col min="15375" max="15375" width="8.44140625" style="220" bestFit="1" customWidth="1"/>
    <col min="15376" max="15378" width="7.33203125" style="220" customWidth="1"/>
    <col min="15379" max="15616" width="11.44140625" style="220"/>
    <col min="15617" max="15617" width="1" style="220" customWidth="1"/>
    <col min="15618" max="15618" width="1.5546875" style="220" customWidth="1"/>
    <col min="15619" max="15619" width="27.5546875" style="220" bestFit="1" customWidth="1"/>
    <col min="15620" max="15620" width="21.44140625" style="220" bestFit="1" customWidth="1"/>
    <col min="15621" max="15621" width="8.44140625" style="220" bestFit="1" customWidth="1"/>
    <col min="15622" max="15622" width="8.33203125" style="220" bestFit="1" customWidth="1"/>
    <col min="15623" max="15623" width="8.44140625" style="220" bestFit="1" customWidth="1"/>
    <col min="15624" max="15624" width="9.44140625" style="220" customWidth="1"/>
    <col min="15625" max="15625" width="11" style="220" customWidth="1"/>
    <col min="15626" max="15626" width="1.5546875" style="220" customWidth="1"/>
    <col min="15627" max="15627" width="2" style="220" customWidth="1"/>
    <col min="15628" max="15628" width="38.109375" style="220" customWidth="1"/>
    <col min="15629" max="15629" width="6.33203125" style="220" bestFit="1" customWidth="1"/>
    <col min="15630" max="15630" width="4.33203125" style="220" bestFit="1" customWidth="1"/>
    <col min="15631" max="15631" width="8.44140625" style="220" bestFit="1" customWidth="1"/>
    <col min="15632" max="15634" width="7.33203125" style="220" customWidth="1"/>
    <col min="15635" max="15872" width="11.44140625" style="220"/>
    <col min="15873" max="15873" width="1" style="220" customWidth="1"/>
    <col min="15874" max="15874" width="1.5546875" style="220" customWidth="1"/>
    <col min="15875" max="15875" width="27.5546875" style="220" bestFit="1" customWidth="1"/>
    <col min="15876" max="15876" width="21.44140625" style="220" bestFit="1" customWidth="1"/>
    <col min="15877" max="15877" width="8.44140625" style="220" bestFit="1" customWidth="1"/>
    <col min="15878" max="15878" width="8.33203125" style="220" bestFit="1" customWidth="1"/>
    <col min="15879" max="15879" width="8.44140625" style="220" bestFit="1" customWidth="1"/>
    <col min="15880" max="15880" width="9.44140625" style="220" customWidth="1"/>
    <col min="15881" max="15881" width="11" style="220" customWidth="1"/>
    <col min="15882" max="15882" width="1.5546875" style="220" customWidth="1"/>
    <col min="15883" max="15883" width="2" style="220" customWidth="1"/>
    <col min="15884" max="15884" width="38.109375" style="220" customWidth="1"/>
    <col min="15885" max="15885" width="6.33203125" style="220" bestFit="1" customWidth="1"/>
    <col min="15886" max="15886" width="4.33203125" style="220" bestFit="1" customWidth="1"/>
    <col min="15887" max="15887" width="8.44140625" style="220" bestFit="1" customWidth="1"/>
    <col min="15888" max="15890" width="7.33203125" style="220" customWidth="1"/>
    <col min="15891" max="16128" width="11.44140625" style="220"/>
    <col min="16129" max="16129" width="1" style="220" customWidth="1"/>
    <col min="16130" max="16130" width="1.5546875" style="220" customWidth="1"/>
    <col min="16131" max="16131" width="27.5546875" style="220" bestFit="1" customWidth="1"/>
    <col min="16132" max="16132" width="21.44140625" style="220" bestFit="1" customWidth="1"/>
    <col min="16133" max="16133" width="8.44140625" style="220" bestFit="1" customWidth="1"/>
    <col min="16134" max="16134" width="8.33203125" style="220" bestFit="1" customWidth="1"/>
    <col min="16135" max="16135" width="8.44140625" style="220" bestFit="1" customWidth="1"/>
    <col min="16136" max="16136" width="9.44140625" style="220" customWidth="1"/>
    <col min="16137" max="16137" width="11" style="220" customWidth="1"/>
    <col min="16138" max="16138" width="1.5546875" style="220" customWidth="1"/>
    <col min="16139" max="16139" width="2" style="220" customWidth="1"/>
    <col min="16140" max="16140" width="38.109375" style="220" customWidth="1"/>
    <col min="16141" max="16141" width="6.33203125" style="220" bestFit="1" customWidth="1"/>
    <col min="16142" max="16142" width="4.33203125" style="220" bestFit="1" customWidth="1"/>
    <col min="16143" max="16143" width="8.44140625" style="220" bestFit="1" customWidth="1"/>
    <col min="16144" max="16146" width="7.33203125" style="220" customWidth="1"/>
    <col min="16147" max="16384" width="11.44140625" style="220"/>
  </cols>
  <sheetData>
    <row r="1" spans="2:12" ht="8.25" customHeight="1" thickBot="1" x14ac:dyDescent="0.35"/>
    <row r="2" spans="2:12" ht="13.8" thickTop="1" x14ac:dyDescent="0.3">
      <c r="B2" s="219"/>
      <c r="C2" s="218"/>
      <c r="D2" s="218"/>
      <c r="E2" s="218"/>
      <c r="F2" s="218"/>
      <c r="G2" s="218"/>
      <c r="H2" s="218"/>
      <c r="I2" s="217"/>
      <c r="J2" s="216"/>
    </row>
    <row r="3" spans="2:12" s="210" customFormat="1" x14ac:dyDescent="0.25">
      <c r="B3" s="215"/>
      <c r="C3" s="214" t="s">
        <v>145</v>
      </c>
      <c r="D3" s="213"/>
      <c r="E3" s="213"/>
      <c r="F3" s="213"/>
      <c r="G3" s="213"/>
      <c r="H3" s="213"/>
      <c r="I3" s="212"/>
      <c r="J3" s="211"/>
    </row>
    <row r="4" spans="2:12" s="210" customFormat="1" x14ac:dyDescent="0.25">
      <c r="B4" s="215"/>
      <c r="C4" s="757"/>
      <c r="D4" s="757"/>
      <c r="E4" s="757"/>
      <c r="F4" s="757"/>
      <c r="G4" s="757"/>
      <c r="H4" s="757"/>
      <c r="I4" s="757"/>
      <c r="J4" s="211"/>
    </row>
    <row r="5" spans="2:12" x14ac:dyDescent="0.3">
      <c r="B5" s="215"/>
      <c r="C5" s="209"/>
      <c r="D5" s="209"/>
      <c r="E5" s="209"/>
      <c r="F5" s="209"/>
      <c r="G5" s="209"/>
      <c r="H5" s="209"/>
      <c r="I5" s="209"/>
      <c r="J5" s="208"/>
    </row>
    <row r="6" spans="2:12" x14ac:dyDescent="0.3">
      <c r="B6" s="215"/>
      <c r="C6" s="207"/>
      <c r="D6" s="207"/>
      <c r="E6" s="206"/>
      <c r="F6" s="206"/>
      <c r="G6" s="205"/>
      <c r="H6" s="207"/>
      <c r="I6" s="206"/>
      <c r="J6" s="208"/>
      <c r="L6" s="204" t="s">
        <v>146</v>
      </c>
    </row>
    <row r="7" spans="2:12" x14ac:dyDescent="0.3">
      <c r="B7" s="215"/>
      <c r="C7" s="207"/>
      <c r="D7" s="207"/>
      <c r="E7" s="206"/>
      <c r="F7" s="206"/>
      <c r="G7" s="205"/>
      <c r="H7" s="207"/>
      <c r="I7" s="206"/>
      <c r="J7" s="208"/>
      <c r="L7" s="204"/>
    </row>
    <row r="8" spans="2:12" x14ac:dyDescent="0.3">
      <c r="B8" s="215"/>
      <c r="C8" s="207"/>
      <c r="D8" s="207"/>
      <c r="E8" s="206"/>
      <c r="F8" s="203"/>
      <c r="G8" s="205"/>
      <c r="H8" s="207"/>
      <c r="I8" s="206"/>
      <c r="J8" s="208"/>
      <c r="L8" s="204" t="s">
        <v>147</v>
      </c>
    </row>
    <row r="9" spans="2:12" x14ac:dyDescent="0.3">
      <c r="B9" s="215"/>
      <c r="C9" s="207"/>
      <c r="D9" s="207"/>
      <c r="E9" s="206"/>
      <c r="F9" s="206"/>
      <c r="G9" s="205"/>
      <c r="H9" s="207"/>
      <c r="I9" s="206"/>
      <c r="J9" s="208"/>
      <c r="L9" s="204" t="s">
        <v>148</v>
      </c>
    </row>
    <row r="10" spans="2:12" x14ac:dyDescent="0.3">
      <c r="B10" s="215"/>
      <c r="C10" s="207"/>
      <c r="D10" s="207"/>
      <c r="E10" s="206"/>
      <c r="F10" s="203"/>
      <c r="G10" s="205"/>
      <c r="H10" s="207"/>
      <c r="I10" s="206"/>
      <c r="J10" s="208"/>
      <c r="L10" s="204" t="s">
        <v>147</v>
      </c>
    </row>
    <row r="11" spans="2:12" x14ac:dyDescent="0.3">
      <c r="B11" s="215"/>
      <c r="C11" s="207"/>
      <c r="D11" s="207"/>
      <c r="E11" s="206"/>
      <c r="F11" s="203"/>
      <c r="G11" s="205"/>
      <c r="H11" s="207"/>
      <c r="I11" s="206"/>
      <c r="J11" s="208"/>
      <c r="L11" s="204" t="s">
        <v>148</v>
      </c>
    </row>
    <row r="12" spans="2:12" x14ac:dyDescent="0.3">
      <c r="B12" s="215"/>
      <c r="C12" s="207"/>
      <c r="D12" s="207"/>
      <c r="E12" s="206"/>
      <c r="F12" s="203"/>
      <c r="G12" s="205"/>
      <c r="H12" s="207"/>
      <c r="I12" s="206"/>
      <c r="J12" s="208"/>
      <c r="L12" s="204" t="s">
        <v>148</v>
      </c>
    </row>
    <row r="13" spans="2:12" x14ac:dyDescent="0.3">
      <c r="B13" s="215"/>
      <c r="C13" s="207"/>
      <c r="D13" s="207"/>
      <c r="E13" s="206"/>
      <c r="F13" s="203"/>
      <c r="G13" s="205"/>
      <c r="H13" s="207"/>
      <c r="I13" s="206"/>
      <c r="J13" s="208"/>
      <c r="L13" s="204" t="s">
        <v>148</v>
      </c>
    </row>
    <row r="14" spans="2:12" x14ac:dyDescent="0.3">
      <c r="B14" s="215"/>
      <c r="C14" s="207"/>
      <c r="D14" s="207"/>
      <c r="E14" s="206"/>
      <c r="F14" s="203"/>
      <c r="G14" s="205"/>
      <c r="H14" s="207"/>
      <c r="I14" s="206"/>
      <c r="J14" s="208"/>
      <c r="L14" s="204" t="s">
        <v>148</v>
      </c>
    </row>
    <row r="15" spans="2:12" x14ac:dyDescent="0.3">
      <c r="B15" s="215"/>
      <c r="C15" s="207"/>
      <c r="D15" s="207"/>
      <c r="E15" s="206"/>
      <c r="F15" s="203"/>
      <c r="G15" s="205"/>
      <c r="H15" s="207"/>
      <c r="I15" s="206"/>
      <c r="J15" s="208"/>
      <c r="L15" s="204" t="s">
        <v>147</v>
      </c>
    </row>
    <row r="16" spans="2:12" x14ac:dyDescent="0.3">
      <c r="B16" s="215"/>
      <c r="C16" s="202"/>
      <c r="D16" s="202"/>
      <c r="E16" s="201"/>
      <c r="F16" s="201"/>
      <c r="G16" s="202"/>
      <c r="H16" s="202"/>
      <c r="I16" s="200">
        <f>SUM(I6:I15)</f>
        <v>0</v>
      </c>
      <c r="J16" s="208"/>
    </row>
    <row r="17" spans="2:21" ht="9" customHeight="1" thickBot="1" x14ac:dyDescent="0.35">
      <c r="B17" s="199"/>
      <c r="C17" s="198"/>
      <c r="D17" s="198"/>
      <c r="E17" s="198"/>
      <c r="F17" s="198"/>
      <c r="G17" s="198"/>
      <c r="H17" s="198"/>
      <c r="I17" s="197"/>
      <c r="J17" s="196"/>
    </row>
    <row r="18" spans="2:21" ht="9" customHeight="1" thickTop="1" x14ac:dyDescent="0.3">
      <c r="B18" s="219"/>
      <c r="C18" s="218"/>
      <c r="D18" s="218"/>
      <c r="E18" s="218"/>
      <c r="F18" s="218"/>
      <c r="G18" s="218"/>
      <c r="H18" s="218"/>
      <c r="I18" s="217"/>
      <c r="J18" s="216"/>
    </row>
    <row r="19" spans="2:21" s="210" customFormat="1" x14ac:dyDescent="0.3">
      <c r="B19" s="215"/>
      <c r="C19" s="214" t="s">
        <v>145</v>
      </c>
      <c r="D19" s="213"/>
      <c r="E19" s="213"/>
      <c r="F19" s="213"/>
      <c r="G19" s="213"/>
      <c r="H19" s="213"/>
      <c r="I19" s="212"/>
      <c r="J19" s="211"/>
      <c r="L19" s="220"/>
      <c r="M19" s="220"/>
      <c r="N19" s="220"/>
    </row>
    <row r="20" spans="2:21" s="210" customFormat="1" x14ac:dyDescent="0.3">
      <c r="B20" s="215"/>
      <c r="C20" s="757" t="s">
        <v>149</v>
      </c>
      <c r="D20" s="757"/>
      <c r="E20" s="757"/>
      <c r="F20" s="757"/>
      <c r="G20" s="757"/>
      <c r="H20" s="757"/>
      <c r="I20" s="757"/>
      <c r="J20" s="211"/>
      <c r="L20" s="220"/>
      <c r="M20" s="220"/>
      <c r="N20" s="220"/>
      <c r="O20" s="195" t="s">
        <v>150</v>
      </c>
      <c r="P20" s="195" t="s">
        <v>151</v>
      </c>
      <c r="Q20" s="195" t="s">
        <v>152</v>
      </c>
      <c r="R20" s="195" t="s">
        <v>153</v>
      </c>
    </row>
    <row r="21" spans="2:21" x14ac:dyDescent="0.3">
      <c r="B21" s="215"/>
      <c r="C21" s="209"/>
      <c r="D21" s="209"/>
      <c r="E21" s="209" t="s">
        <v>154</v>
      </c>
      <c r="F21" s="209" t="s">
        <v>155</v>
      </c>
      <c r="G21" s="209" t="s">
        <v>156</v>
      </c>
      <c r="H21" s="209" t="s">
        <v>157</v>
      </c>
      <c r="I21" s="209" t="s">
        <v>158</v>
      </c>
      <c r="J21" s="208"/>
      <c r="L21" s="227" t="s">
        <v>511</v>
      </c>
      <c r="M21" s="228"/>
      <c r="N21" s="594">
        <v>1</v>
      </c>
      <c r="O21" s="594">
        <v>1</v>
      </c>
      <c r="P21" s="193"/>
      <c r="Q21" s="193"/>
      <c r="R21" s="594"/>
      <c r="S21" s="220" t="s">
        <v>511</v>
      </c>
      <c r="U21" s="220">
        <v>1</v>
      </c>
    </row>
    <row r="22" spans="2:21" x14ac:dyDescent="0.3">
      <c r="B22" s="215"/>
      <c r="C22" s="207" t="s">
        <v>159</v>
      </c>
      <c r="D22" s="207" t="s">
        <v>160</v>
      </c>
      <c r="E22" s="206">
        <f>+P45</f>
        <v>13</v>
      </c>
      <c r="F22" s="192">
        <v>25.08</v>
      </c>
      <c r="G22" s="191">
        <v>1</v>
      </c>
      <c r="H22" s="206">
        <v>2</v>
      </c>
      <c r="I22" s="206">
        <f>+PRODUCT(E22:H22)-0.275</f>
        <v>651.80499999999995</v>
      </c>
      <c r="J22" s="208"/>
      <c r="L22" s="227" t="s">
        <v>512</v>
      </c>
      <c r="M22" s="228"/>
      <c r="N22" s="594">
        <v>1</v>
      </c>
      <c r="O22" s="594"/>
      <c r="P22" s="591">
        <v>1</v>
      </c>
      <c r="Q22" s="193"/>
      <c r="R22" s="594"/>
      <c r="S22" s="220" t="s">
        <v>512</v>
      </c>
      <c r="U22" s="220">
        <v>1</v>
      </c>
    </row>
    <row r="23" spans="2:21" x14ac:dyDescent="0.3">
      <c r="B23" s="215"/>
      <c r="C23" s="207" t="s">
        <v>161</v>
      </c>
      <c r="D23" s="207" t="s">
        <v>162</v>
      </c>
      <c r="E23" s="206">
        <f>+N45</f>
        <v>17</v>
      </c>
      <c r="F23" s="206">
        <v>30</v>
      </c>
      <c r="G23" s="205">
        <v>1</v>
      </c>
      <c r="H23" s="206">
        <v>3</v>
      </c>
      <c r="I23" s="206">
        <f t="shared" ref="I23:I28" si="0">+PRODUCT(E23:H23)</f>
        <v>1530</v>
      </c>
      <c r="J23" s="208"/>
      <c r="L23" s="227" t="s">
        <v>513</v>
      </c>
      <c r="M23" s="228"/>
      <c r="N23" s="594">
        <v>1</v>
      </c>
      <c r="O23" s="594"/>
      <c r="P23" s="591">
        <v>1</v>
      </c>
      <c r="Q23" s="193"/>
      <c r="R23" s="594"/>
      <c r="S23" s="220" t="s">
        <v>513</v>
      </c>
      <c r="U23" s="220">
        <v>1</v>
      </c>
    </row>
    <row r="24" spans="2:21" x14ac:dyDescent="0.3">
      <c r="B24" s="215"/>
      <c r="C24" s="207" t="s">
        <v>163</v>
      </c>
      <c r="D24" s="207" t="s">
        <v>164</v>
      </c>
      <c r="E24" s="206">
        <f>+E22</f>
        <v>13</v>
      </c>
      <c r="F24" s="206">
        <v>43</v>
      </c>
      <c r="G24" s="205">
        <v>1</v>
      </c>
      <c r="H24" s="206">
        <v>2</v>
      </c>
      <c r="I24" s="206">
        <f t="shared" si="0"/>
        <v>1118</v>
      </c>
      <c r="J24" s="190"/>
      <c r="L24" s="227" t="s">
        <v>514</v>
      </c>
      <c r="M24" s="228"/>
      <c r="N24" s="594">
        <v>1</v>
      </c>
      <c r="O24" s="594"/>
      <c r="P24" s="591">
        <v>1</v>
      </c>
      <c r="Q24" s="193"/>
      <c r="R24" s="594"/>
      <c r="S24" s="220" t="s">
        <v>514</v>
      </c>
      <c r="U24" s="220">
        <v>1</v>
      </c>
    </row>
    <row r="25" spans="2:21" x14ac:dyDescent="0.3">
      <c r="B25" s="215"/>
      <c r="C25" s="207" t="s">
        <v>165</v>
      </c>
      <c r="D25" s="207" t="s">
        <v>160</v>
      </c>
      <c r="E25" s="206">
        <f t="shared" ref="E25:E30" si="1">+E24</f>
        <v>13</v>
      </c>
      <c r="F25" s="192">
        <v>90</v>
      </c>
      <c r="G25" s="191">
        <v>1</v>
      </c>
      <c r="H25" s="206">
        <v>2</v>
      </c>
      <c r="I25" s="206">
        <f t="shared" si="0"/>
        <v>2340</v>
      </c>
      <c r="J25" s="208"/>
      <c r="L25" s="227" t="s">
        <v>515</v>
      </c>
      <c r="M25" s="228"/>
      <c r="N25" s="594">
        <v>1</v>
      </c>
      <c r="O25" s="594"/>
      <c r="P25" s="591">
        <v>1</v>
      </c>
      <c r="Q25" s="193"/>
      <c r="R25" s="594"/>
      <c r="S25" s="220" t="s">
        <v>515</v>
      </c>
      <c r="U25" s="220">
        <v>1</v>
      </c>
    </row>
    <row r="26" spans="2:21" x14ac:dyDescent="0.3">
      <c r="B26" s="215"/>
      <c r="C26" s="207" t="s">
        <v>166</v>
      </c>
      <c r="D26" s="207" t="s">
        <v>167</v>
      </c>
      <c r="E26" s="206">
        <f t="shared" si="1"/>
        <v>13</v>
      </c>
      <c r="F26" s="192">
        <v>9.5</v>
      </c>
      <c r="G26" s="191">
        <v>1</v>
      </c>
      <c r="H26" s="206">
        <v>5</v>
      </c>
      <c r="I26" s="206">
        <f t="shared" si="0"/>
        <v>617.5</v>
      </c>
      <c r="J26" s="208"/>
      <c r="L26" s="220" t="s">
        <v>517</v>
      </c>
      <c r="N26" s="595">
        <v>1</v>
      </c>
      <c r="O26" s="595"/>
      <c r="P26" s="592">
        <v>1</v>
      </c>
      <c r="Q26" s="562"/>
      <c r="R26" s="595"/>
      <c r="S26" s="220" t="s">
        <v>517</v>
      </c>
      <c r="U26" s="220">
        <v>1</v>
      </c>
    </row>
    <row r="27" spans="2:21" x14ac:dyDescent="0.3">
      <c r="B27" s="215"/>
      <c r="C27" s="207" t="s">
        <v>168</v>
      </c>
      <c r="D27" s="207" t="s">
        <v>167</v>
      </c>
      <c r="E27" s="206">
        <f t="shared" si="1"/>
        <v>13</v>
      </c>
      <c r="F27" s="192">
        <v>13</v>
      </c>
      <c r="G27" s="205">
        <v>1</v>
      </c>
      <c r="H27" s="206">
        <v>5</v>
      </c>
      <c r="I27" s="206">
        <f t="shared" si="0"/>
        <v>845</v>
      </c>
      <c r="J27" s="208"/>
      <c r="L27" s="220" t="s">
        <v>518</v>
      </c>
      <c r="N27" s="595">
        <v>1</v>
      </c>
      <c r="O27" s="595"/>
      <c r="P27" s="592">
        <v>1</v>
      </c>
      <c r="Q27" s="563"/>
      <c r="R27" s="595"/>
      <c r="S27" s="220" t="s">
        <v>518</v>
      </c>
      <c r="U27" s="220">
        <v>1</v>
      </c>
    </row>
    <row r="28" spans="2:21" x14ac:dyDescent="0.3">
      <c r="B28" s="215"/>
      <c r="C28" s="207" t="s">
        <v>169</v>
      </c>
      <c r="D28" s="207" t="s">
        <v>170</v>
      </c>
      <c r="E28" s="206">
        <f t="shared" si="1"/>
        <v>13</v>
      </c>
      <c r="F28" s="206">
        <v>4.5</v>
      </c>
      <c r="G28" s="205">
        <v>1</v>
      </c>
      <c r="H28" s="206">
        <v>10</v>
      </c>
      <c r="I28" s="206">
        <f t="shared" si="0"/>
        <v>585</v>
      </c>
      <c r="J28" s="208"/>
      <c r="L28" s="227" t="s">
        <v>519</v>
      </c>
      <c r="M28" s="228"/>
      <c r="N28" s="594">
        <v>1</v>
      </c>
      <c r="O28" s="594"/>
      <c r="P28" s="591">
        <v>1</v>
      </c>
      <c r="Q28" s="564"/>
      <c r="R28" s="594"/>
      <c r="S28" s="220" t="s">
        <v>519</v>
      </c>
      <c r="U28" s="220">
        <v>1</v>
      </c>
    </row>
    <row r="29" spans="2:21" x14ac:dyDescent="0.3">
      <c r="B29" s="215"/>
      <c r="C29" s="207" t="s">
        <v>171</v>
      </c>
      <c r="D29" s="207" t="s">
        <v>172</v>
      </c>
      <c r="E29" s="206">
        <f t="shared" si="1"/>
        <v>13</v>
      </c>
      <c r="F29" s="206">
        <v>10</v>
      </c>
      <c r="G29" s="205">
        <v>1</v>
      </c>
      <c r="H29" s="206">
        <v>10</v>
      </c>
      <c r="I29" s="206">
        <f>+PRODUCT(E29:H29)-278.708</f>
        <v>1021.2919999999999</v>
      </c>
      <c r="J29" s="208"/>
      <c r="L29" s="220" t="s">
        <v>520</v>
      </c>
      <c r="N29" s="595">
        <v>1</v>
      </c>
      <c r="O29" s="595">
        <v>1</v>
      </c>
      <c r="P29" s="592"/>
      <c r="Q29" s="563"/>
      <c r="R29" s="595"/>
      <c r="S29" s="220" t="s">
        <v>520</v>
      </c>
      <c r="U29" s="220">
        <v>1</v>
      </c>
    </row>
    <row r="30" spans="2:21" x14ac:dyDescent="0.3">
      <c r="B30" s="215"/>
      <c r="C30" s="207" t="s">
        <v>173</v>
      </c>
      <c r="D30" s="207" t="s">
        <v>174</v>
      </c>
      <c r="E30" s="206">
        <f t="shared" si="1"/>
        <v>13</v>
      </c>
      <c r="F30" s="206">
        <v>25</v>
      </c>
      <c r="G30" s="205">
        <v>1</v>
      </c>
      <c r="H30" s="206">
        <v>3</v>
      </c>
      <c r="I30" s="206">
        <f>+PRODUCT(E30:H30)</f>
        <v>975</v>
      </c>
      <c r="J30" s="208"/>
      <c r="L30" s="227" t="s">
        <v>521</v>
      </c>
      <c r="M30" s="228"/>
      <c r="N30" s="596">
        <v>1</v>
      </c>
      <c r="O30" s="596">
        <v>1</v>
      </c>
      <c r="P30" s="593"/>
      <c r="Q30" s="565"/>
      <c r="R30" s="596"/>
      <c r="S30" s="220" t="s">
        <v>521</v>
      </c>
      <c r="U30" s="220">
        <v>1</v>
      </c>
    </row>
    <row r="31" spans="2:21" x14ac:dyDescent="0.3">
      <c r="B31" s="215"/>
      <c r="C31" s="207" t="s">
        <v>175</v>
      </c>
      <c r="D31" s="207" t="s">
        <v>164</v>
      </c>
      <c r="E31" s="206">
        <f>+E23</f>
        <v>17</v>
      </c>
      <c r="F31" s="206">
        <v>92</v>
      </c>
      <c r="G31" s="205">
        <v>1</v>
      </c>
      <c r="H31" s="206">
        <v>1</v>
      </c>
      <c r="I31" s="206">
        <f>+PRODUCT(E31:H31)</f>
        <v>1564</v>
      </c>
      <c r="J31" s="208"/>
      <c r="L31" s="220" t="s">
        <v>522</v>
      </c>
      <c r="N31" s="595">
        <v>1</v>
      </c>
      <c r="O31" s="595"/>
      <c r="P31" s="592">
        <v>1</v>
      </c>
      <c r="Q31" s="563"/>
      <c r="R31" s="595"/>
      <c r="S31" s="220" t="s">
        <v>522</v>
      </c>
      <c r="U31" s="220">
        <v>1</v>
      </c>
    </row>
    <row r="32" spans="2:21" x14ac:dyDescent="0.3">
      <c r="B32" s="215"/>
      <c r="C32" s="202"/>
      <c r="D32" s="202"/>
      <c r="E32" s="201"/>
      <c r="F32" s="201"/>
      <c r="G32" s="202"/>
      <c r="H32" s="202"/>
      <c r="I32" s="200">
        <f>SUM(I22:I31)</f>
        <v>11247.597</v>
      </c>
      <c r="J32" s="208"/>
      <c r="L32" s="227" t="s">
        <v>523</v>
      </c>
      <c r="M32" s="228"/>
      <c r="N32" s="594">
        <v>1</v>
      </c>
      <c r="O32" s="594"/>
      <c r="P32" s="591">
        <v>1</v>
      </c>
      <c r="Q32" s="564"/>
      <c r="R32" s="594"/>
      <c r="S32" s="220" t="s">
        <v>523</v>
      </c>
      <c r="U32" s="220">
        <v>1</v>
      </c>
    </row>
    <row r="33" spans="2:21" s="204" customFormat="1" ht="13.8" thickBot="1" x14ac:dyDescent="0.35">
      <c r="B33" s="188"/>
      <c r="C33" s="187"/>
      <c r="D33" s="187"/>
      <c r="E33" s="187"/>
      <c r="F33" s="187"/>
      <c r="G33" s="187"/>
      <c r="H33" s="187"/>
      <c r="I33" s="186"/>
      <c r="J33" s="185"/>
      <c r="L33" s="227" t="s">
        <v>524</v>
      </c>
      <c r="M33" s="228"/>
      <c r="N33" s="594">
        <v>1</v>
      </c>
      <c r="O33" s="594"/>
      <c r="P33" s="591">
        <v>1</v>
      </c>
      <c r="Q33" s="564"/>
      <c r="R33" s="594"/>
      <c r="S33" s="204" t="s">
        <v>524</v>
      </c>
      <c r="U33" s="204">
        <v>1</v>
      </c>
    </row>
    <row r="34" spans="2:21" s="204" customFormat="1" ht="13.8" thickTop="1" x14ac:dyDescent="0.3">
      <c r="B34" s="215"/>
      <c r="C34" s="214"/>
      <c r="D34" s="213"/>
      <c r="E34" s="213"/>
      <c r="F34" s="213"/>
      <c r="G34" s="213"/>
      <c r="H34" s="213"/>
      <c r="I34" s="184"/>
      <c r="J34" s="211"/>
      <c r="L34" s="227"/>
      <c r="M34" s="228"/>
      <c r="N34" s="596"/>
      <c r="O34" s="596"/>
      <c r="P34" s="593"/>
      <c r="Q34" s="189"/>
      <c r="R34" s="596"/>
    </row>
    <row r="35" spans="2:21" s="210" customFormat="1" x14ac:dyDescent="0.3">
      <c r="B35" s="215"/>
      <c r="C35" s="214" t="s">
        <v>176</v>
      </c>
      <c r="D35" s="213"/>
      <c r="E35" s="213"/>
      <c r="F35" s="213"/>
      <c r="G35" s="213"/>
      <c r="H35" s="213"/>
      <c r="I35" s="212"/>
      <c r="J35" s="211"/>
      <c r="L35" s="227" t="s">
        <v>527</v>
      </c>
      <c r="M35" s="228"/>
      <c r="N35" s="594">
        <v>1</v>
      </c>
      <c r="O35" s="594"/>
      <c r="P35" s="591">
        <v>1</v>
      </c>
      <c r="Q35" s="193"/>
      <c r="R35" s="594"/>
      <c r="S35" s="210" t="s">
        <v>527</v>
      </c>
      <c r="U35" s="210">
        <v>1</v>
      </c>
    </row>
    <row r="36" spans="2:21" s="210" customFormat="1" x14ac:dyDescent="0.3">
      <c r="B36" s="215"/>
      <c r="C36" s="757" t="s">
        <v>177</v>
      </c>
      <c r="D36" s="757"/>
      <c r="E36" s="757"/>
      <c r="F36" s="757"/>
      <c r="G36" s="213"/>
      <c r="H36" s="213"/>
      <c r="I36" s="212"/>
      <c r="J36" s="211"/>
      <c r="L36" s="227" t="s">
        <v>525</v>
      </c>
      <c r="M36" s="228"/>
      <c r="N36" s="594">
        <v>1</v>
      </c>
      <c r="O36" s="594"/>
      <c r="P36" s="591">
        <v>1</v>
      </c>
      <c r="Q36" s="193"/>
      <c r="R36" s="594"/>
      <c r="S36" s="210" t="s">
        <v>525</v>
      </c>
      <c r="U36" s="210">
        <v>1</v>
      </c>
    </row>
    <row r="37" spans="2:21" x14ac:dyDescent="0.3">
      <c r="B37" s="215"/>
      <c r="C37" s="183"/>
      <c r="D37" s="182" t="s">
        <v>178</v>
      </c>
      <c r="E37" s="181" t="s">
        <v>179</v>
      </c>
      <c r="F37" s="181" t="s">
        <v>180</v>
      </c>
      <c r="G37" s="180"/>
      <c r="H37" s="180"/>
      <c r="I37" s="179"/>
      <c r="J37" s="208"/>
      <c r="L37" s="227" t="s">
        <v>526</v>
      </c>
      <c r="M37" s="228"/>
      <c r="N37" s="594">
        <v>1</v>
      </c>
      <c r="O37" s="594"/>
      <c r="P37" s="591">
        <v>1</v>
      </c>
      <c r="Q37" s="193"/>
      <c r="R37" s="594"/>
      <c r="S37" s="210" t="s">
        <v>526</v>
      </c>
      <c r="T37" s="210"/>
      <c r="U37" s="210">
        <v>1</v>
      </c>
    </row>
    <row r="38" spans="2:21" x14ac:dyDescent="0.3">
      <c r="B38" s="215"/>
      <c r="C38" s="178" t="s">
        <v>181</v>
      </c>
      <c r="D38" s="178">
        <v>1</v>
      </c>
      <c r="E38" s="178">
        <f>130+25</f>
        <v>155</v>
      </c>
      <c r="F38" s="178">
        <f>+D38*E38</f>
        <v>155</v>
      </c>
      <c r="G38" s="180"/>
      <c r="H38" s="180"/>
      <c r="I38" s="179"/>
      <c r="J38" s="208"/>
      <c r="L38" s="227" t="s">
        <v>14</v>
      </c>
      <c r="M38" s="228"/>
      <c r="N38" s="594">
        <v>1</v>
      </c>
      <c r="O38" s="594">
        <v>1</v>
      </c>
      <c r="P38" s="591"/>
      <c r="Q38" s="193"/>
      <c r="R38" s="594"/>
      <c r="S38" s="210" t="s">
        <v>14</v>
      </c>
      <c r="T38" s="210"/>
      <c r="U38" s="210">
        <v>1</v>
      </c>
    </row>
    <row r="39" spans="2:21" x14ac:dyDescent="0.3">
      <c r="B39" s="215"/>
      <c r="C39" s="178" t="s">
        <v>182</v>
      </c>
      <c r="D39" s="178"/>
      <c r="E39" s="178"/>
      <c r="F39" s="178"/>
      <c r="G39" s="180"/>
      <c r="H39" s="180"/>
      <c r="I39" s="179"/>
      <c r="J39" s="208"/>
      <c r="L39" s="227"/>
      <c r="M39" s="228"/>
      <c r="N39" s="193"/>
      <c r="O39" s="193"/>
      <c r="P39" s="193"/>
      <c r="Q39" s="193"/>
      <c r="R39" s="193"/>
      <c r="S39" s="210"/>
      <c r="T39" s="210"/>
      <c r="U39" s="210"/>
    </row>
    <row r="40" spans="2:21" x14ac:dyDescent="0.3">
      <c r="B40" s="215"/>
      <c r="C40" s="178" t="s">
        <v>183</v>
      </c>
      <c r="D40" s="178">
        <v>1</v>
      </c>
      <c r="E40" s="178">
        <v>120</v>
      </c>
      <c r="F40" s="178">
        <f>+D40*E40</f>
        <v>120</v>
      </c>
      <c r="G40" s="180"/>
      <c r="H40" s="180"/>
      <c r="I40" s="179"/>
      <c r="J40" s="208"/>
      <c r="L40" s="227"/>
      <c r="M40" s="228"/>
      <c r="N40" s="193"/>
      <c r="O40" s="193"/>
      <c r="P40" s="193"/>
      <c r="Q40" s="193"/>
      <c r="R40" s="193"/>
      <c r="S40" s="210"/>
      <c r="T40" s="210"/>
      <c r="U40" s="210"/>
    </row>
    <row r="41" spans="2:21" x14ac:dyDescent="0.3">
      <c r="B41" s="215"/>
      <c r="C41" s="176"/>
      <c r="D41" s="175"/>
      <c r="E41" s="175"/>
      <c r="F41" s="175">
        <f>SUM(F38:F40)</f>
        <v>275</v>
      </c>
      <c r="G41" s="180"/>
      <c r="H41" s="180"/>
      <c r="I41" s="179"/>
      <c r="J41" s="208"/>
      <c r="L41" s="227"/>
      <c r="M41" s="228"/>
      <c r="N41" s="193"/>
      <c r="O41" s="193"/>
      <c r="P41" s="193"/>
      <c r="Q41" s="193"/>
      <c r="R41" s="193"/>
      <c r="S41" s="210"/>
      <c r="T41" s="210"/>
      <c r="U41" s="210"/>
    </row>
    <row r="42" spans="2:21" x14ac:dyDescent="0.3">
      <c r="B42" s="215"/>
      <c r="C42" s="174" t="s">
        <v>184</v>
      </c>
      <c r="D42" s="173"/>
      <c r="E42" s="173"/>
      <c r="F42" s="172"/>
      <c r="G42" s="180"/>
      <c r="H42" s="180"/>
      <c r="I42" s="179"/>
      <c r="J42" s="208"/>
      <c r="L42" s="227"/>
      <c r="M42" s="228"/>
      <c r="N42" s="193"/>
      <c r="O42" s="193"/>
      <c r="P42" s="193"/>
      <c r="Q42" s="193"/>
      <c r="R42" s="193"/>
      <c r="S42" s="210"/>
      <c r="T42" s="210"/>
      <c r="U42" s="210"/>
    </row>
    <row r="43" spans="2:21" x14ac:dyDescent="0.3">
      <c r="B43" s="215"/>
      <c r="C43" s="202"/>
      <c r="D43" s="171"/>
      <c r="E43" s="170"/>
      <c r="F43" s="169">
        <f>+F41*F42</f>
        <v>0</v>
      </c>
      <c r="G43" s="180"/>
      <c r="H43" s="180"/>
      <c r="I43" s="179"/>
      <c r="J43" s="208"/>
      <c r="L43" s="227"/>
      <c r="M43" s="228"/>
      <c r="N43" s="193"/>
      <c r="O43" s="193"/>
      <c r="P43" s="193"/>
      <c r="Q43" s="193"/>
      <c r="R43" s="193"/>
      <c r="S43" s="210"/>
      <c r="T43" s="210"/>
      <c r="U43" s="210"/>
    </row>
    <row r="44" spans="2:21" ht="9.75" customHeight="1" thickBot="1" x14ac:dyDescent="0.35">
      <c r="B44" s="199"/>
      <c r="C44" s="198"/>
      <c r="D44" s="198"/>
      <c r="E44" s="198"/>
      <c r="F44" s="198"/>
      <c r="G44" s="198"/>
      <c r="H44" s="198"/>
      <c r="I44" s="197"/>
      <c r="J44" s="196"/>
      <c r="L44" s="194"/>
      <c r="M44" s="204"/>
      <c r="N44" s="193"/>
      <c r="O44" s="193"/>
      <c r="P44" s="193"/>
      <c r="Q44" s="193"/>
      <c r="R44" s="193"/>
      <c r="S44" s="210"/>
      <c r="T44" s="210"/>
      <c r="U44" s="210"/>
    </row>
    <row r="45" spans="2:21" ht="9.75" customHeight="1" thickTop="1" thickBot="1" x14ac:dyDescent="0.35">
      <c r="B45" s="219"/>
      <c r="C45" s="218"/>
      <c r="D45" s="218"/>
      <c r="E45" s="218"/>
      <c r="F45" s="218"/>
      <c r="G45" s="218"/>
      <c r="H45" s="218"/>
      <c r="I45" s="217"/>
      <c r="J45" s="216"/>
      <c r="L45" s="210"/>
      <c r="M45" s="177">
        <f>SUM(M21:M44)</f>
        <v>0</v>
      </c>
      <c r="N45" s="177">
        <f>SUM(N21:N43)</f>
        <v>17</v>
      </c>
      <c r="O45" s="177">
        <f t="shared" ref="O45:R45" si="2">SUM(O21:O43)</f>
        <v>4</v>
      </c>
      <c r="P45" s="177">
        <f t="shared" si="2"/>
        <v>13</v>
      </c>
      <c r="Q45" s="177">
        <f t="shared" si="2"/>
        <v>0</v>
      </c>
      <c r="R45" s="177">
        <f t="shared" si="2"/>
        <v>0</v>
      </c>
      <c r="S45" s="210"/>
      <c r="T45" s="210"/>
      <c r="U45" s="210"/>
    </row>
    <row r="46" spans="2:21" s="210" customFormat="1" x14ac:dyDescent="0.3">
      <c r="B46" s="215"/>
      <c r="C46" s="214" t="s">
        <v>176</v>
      </c>
      <c r="D46" s="213"/>
      <c r="E46" s="213"/>
      <c r="F46" s="213"/>
      <c r="G46" s="213"/>
      <c r="H46" s="213"/>
      <c r="I46" s="212"/>
      <c r="J46" s="211"/>
      <c r="L46" s="220"/>
      <c r="M46" s="220"/>
      <c r="N46" s="220"/>
      <c r="O46" s="220"/>
      <c r="P46" s="220"/>
      <c r="Q46" s="220"/>
      <c r="R46" s="220"/>
    </row>
    <row r="47" spans="2:21" s="210" customFormat="1" x14ac:dyDescent="0.3">
      <c r="B47" s="215"/>
      <c r="C47" s="757" t="s">
        <v>149</v>
      </c>
      <c r="D47" s="757"/>
      <c r="E47" s="757"/>
      <c r="F47" s="757"/>
      <c r="G47" s="213"/>
      <c r="H47" s="213"/>
      <c r="I47" s="212"/>
      <c r="J47" s="211"/>
      <c r="L47" s="204"/>
      <c r="M47" s="204"/>
      <c r="N47" s="220"/>
      <c r="O47" s="220"/>
      <c r="P47" s="220"/>
      <c r="Q47" s="220"/>
      <c r="R47" s="220"/>
    </row>
    <row r="48" spans="2:21" x14ac:dyDescent="0.3">
      <c r="B48" s="215"/>
      <c r="C48" s="183"/>
      <c r="D48" s="182" t="s">
        <v>178</v>
      </c>
      <c r="E48" s="209" t="s">
        <v>185</v>
      </c>
      <c r="F48" s="209" t="s">
        <v>186</v>
      </c>
      <c r="G48" s="180"/>
      <c r="H48" s="180"/>
      <c r="I48" s="179"/>
      <c r="J48" s="208"/>
      <c r="S48" s="210"/>
      <c r="T48" s="210"/>
      <c r="U48" s="210"/>
    </row>
    <row r="49" spans="2:21" x14ac:dyDescent="0.3">
      <c r="B49" s="215"/>
      <c r="C49" s="178" t="s">
        <v>187</v>
      </c>
      <c r="D49" s="178"/>
      <c r="E49" s="168">
        <v>0</v>
      </c>
      <c r="F49" s="168">
        <v>155</v>
      </c>
      <c r="G49" s="180"/>
      <c r="H49" s="180"/>
      <c r="I49" s="179"/>
      <c r="J49" s="208"/>
      <c r="S49" s="210"/>
      <c r="T49" s="210"/>
      <c r="U49" s="210"/>
    </row>
    <row r="50" spans="2:21" x14ac:dyDescent="0.3">
      <c r="B50" s="215"/>
      <c r="C50" s="178" t="s">
        <v>183</v>
      </c>
      <c r="D50" s="178"/>
      <c r="E50" s="168"/>
      <c r="F50" s="168"/>
      <c r="G50" s="180"/>
      <c r="H50" s="180"/>
      <c r="I50" s="179"/>
      <c r="J50" s="208"/>
      <c r="S50" s="210"/>
      <c r="T50" s="210"/>
      <c r="U50" s="210"/>
    </row>
    <row r="51" spans="2:21" x14ac:dyDescent="0.3">
      <c r="B51" s="215"/>
      <c r="C51" s="178" t="s">
        <v>188</v>
      </c>
      <c r="D51" s="178"/>
      <c r="E51" s="168"/>
      <c r="F51" s="168">
        <v>120</v>
      </c>
      <c r="G51" s="180"/>
      <c r="H51" s="180"/>
      <c r="I51" s="179"/>
      <c r="J51" s="208"/>
      <c r="S51" s="210"/>
      <c r="T51" s="210"/>
      <c r="U51" s="210"/>
    </row>
    <row r="52" spans="2:21" ht="13.5" customHeight="1" x14ac:dyDescent="0.3">
      <c r="B52" s="215"/>
      <c r="C52" s="176" t="s">
        <v>158</v>
      </c>
      <c r="D52" s="175">
        <f>SUM(D49:D51)</f>
        <v>0</v>
      </c>
      <c r="E52" s="175">
        <f>SUM(E49:E51)</f>
        <v>0</v>
      </c>
      <c r="F52" s="175">
        <f>SUM(F49:F51)</f>
        <v>275</v>
      </c>
      <c r="G52" s="180"/>
      <c r="H52" s="180"/>
      <c r="I52" s="179"/>
      <c r="J52" s="190"/>
      <c r="S52" s="210"/>
      <c r="T52" s="210"/>
      <c r="U52" s="210"/>
    </row>
    <row r="53" spans="2:21" x14ac:dyDescent="0.3">
      <c r="B53" s="215"/>
      <c r="C53" s="176" t="s">
        <v>184</v>
      </c>
      <c r="D53" s="167"/>
      <c r="E53" s="166"/>
      <c r="F53" s="165">
        <f>+N45</f>
        <v>17</v>
      </c>
      <c r="G53" s="180"/>
      <c r="H53" s="180"/>
      <c r="I53" s="179"/>
      <c r="J53" s="190"/>
      <c r="N53" s="210"/>
      <c r="O53" s="210"/>
      <c r="P53" s="210"/>
      <c r="Q53" s="210"/>
      <c r="R53" s="210"/>
      <c r="S53" s="210"/>
      <c r="T53" s="210"/>
      <c r="U53" s="210"/>
    </row>
    <row r="54" spans="2:21" x14ac:dyDescent="0.3">
      <c r="B54" s="215"/>
      <c r="C54" s="202"/>
      <c r="D54" s="164">
        <f>+D53*D52</f>
        <v>0</v>
      </c>
      <c r="E54" s="164">
        <f>+E53*E52</f>
        <v>0</v>
      </c>
      <c r="F54" s="164">
        <f>+F53*F52</f>
        <v>4675</v>
      </c>
      <c r="G54" s="169">
        <f>SUM(D54:F54)</f>
        <v>4675</v>
      </c>
      <c r="H54" s="180"/>
      <c r="I54" s="179"/>
      <c r="J54" s="208"/>
      <c r="N54" s="210"/>
      <c r="O54" s="210"/>
      <c r="P54" s="210"/>
      <c r="Q54" s="210"/>
      <c r="R54" s="210"/>
      <c r="S54" s="210"/>
      <c r="T54" s="210"/>
      <c r="U54" s="210"/>
    </row>
    <row r="55" spans="2:21" ht="10.5" customHeight="1" thickBot="1" x14ac:dyDescent="0.35">
      <c r="B55" s="199"/>
      <c r="C55" s="198"/>
      <c r="D55" s="198"/>
      <c r="E55" s="198"/>
      <c r="F55" s="198"/>
      <c r="G55" s="198"/>
      <c r="H55" s="198"/>
      <c r="I55" s="197"/>
      <c r="J55" s="196"/>
      <c r="S55" s="210"/>
      <c r="T55" s="210"/>
      <c r="U55" s="210"/>
    </row>
    <row r="56" spans="2:21" ht="13.8" thickTop="1" x14ac:dyDescent="0.3">
      <c r="I56" s="179"/>
      <c r="L56" s="210"/>
      <c r="M56" s="210"/>
      <c r="S56" s="210"/>
      <c r="T56" s="210"/>
      <c r="U56" s="210"/>
    </row>
    <row r="57" spans="2:21" x14ac:dyDescent="0.3">
      <c r="C57" s="221" t="s">
        <v>189</v>
      </c>
      <c r="L57" s="210"/>
      <c r="M57" s="210"/>
      <c r="S57" s="210"/>
      <c r="T57" s="210"/>
      <c r="U57" s="210"/>
    </row>
    <row r="58" spans="2:21" x14ac:dyDescent="0.3">
      <c r="C58" s="757" t="s">
        <v>190</v>
      </c>
      <c r="D58" s="757"/>
      <c r="E58" s="757"/>
      <c r="F58" s="757"/>
      <c r="H58" s="180"/>
      <c r="I58" s="179"/>
      <c r="S58" s="210"/>
      <c r="T58" s="210"/>
      <c r="U58" s="210"/>
    </row>
    <row r="59" spans="2:21" x14ac:dyDescent="0.3">
      <c r="C59" s="183"/>
      <c r="D59" s="182" t="s">
        <v>3</v>
      </c>
      <c r="E59" s="209" t="s">
        <v>185</v>
      </c>
      <c r="F59" s="209" t="s">
        <v>155</v>
      </c>
      <c r="G59" s="209" t="s">
        <v>191</v>
      </c>
      <c r="H59" s="163"/>
      <c r="I59" s="179"/>
      <c r="S59" s="210"/>
      <c r="T59" s="210"/>
      <c r="U59" s="210"/>
    </row>
    <row r="60" spans="2:21" x14ac:dyDescent="0.3">
      <c r="C60" s="178" t="s">
        <v>192</v>
      </c>
      <c r="D60" s="178">
        <v>0</v>
      </c>
      <c r="E60" s="168">
        <v>1</v>
      </c>
      <c r="F60" s="168">
        <v>2560</v>
      </c>
      <c r="G60" s="168">
        <f>+F60*E60*D60</f>
        <v>0</v>
      </c>
      <c r="H60" s="162"/>
      <c r="I60" s="179"/>
      <c r="S60" s="210"/>
      <c r="T60" s="210"/>
      <c r="U60" s="210"/>
    </row>
    <row r="61" spans="2:21" x14ac:dyDescent="0.3">
      <c r="C61" s="178"/>
      <c r="D61" s="178"/>
      <c r="E61" s="168"/>
      <c r="F61" s="168"/>
      <c r="G61" s="168"/>
      <c r="H61" s="162"/>
      <c r="I61" s="179"/>
      <c r="S61" s="210"/>
      <c r="T61" s="210"/>
      <c r="U61" s="210"/>
    </row>
    <row r="62" spans="2:21" x14ac:dyDescent="0.3">
      <c r="C62" s="178"/>
      <c r="D62" s="178"/>
      <c r="E62" s="168"/>
      <c r="F62" s="168"/>
      <c r="G62" s="168"/>
      <c r="H62" s="162"/>
      <c r="I62" s="179"/>
      <c r="S62" s="210"/>
      <c r="T62" s="210"/>
      <c r="U62" s="210"/>
    </row>
    <row r="63" spans="2:21" x14ac:dyDescent="0.3">
      <c r="C63" s="176"/>
      <c r="D63" s="175"/>
      <c r="E63" s="175"/>
      <c r="F63" s="175"/>
      <c r="G63" s="175"/>
      <c r="H63" s="161"/>
      <c r="I63" s="179"/>
    </row>
    <row r="64" spans="2:21" x14ac:dyDescent="0.3">
      <c r="C64" s="176"/>
      <c r="D64" s="167"/>
      <c r="E64" s="166"/>
      <c r="F64" s="165"/>
      <c r="G64" s="165"/>
      <c r="H64" s="160"/>
      <c r="I64" s="179"/>
    </row>
    <row r="65" spans="3:21" x14ac:dyDescent="0.3">
      <c r="C65" s="202"/>
      <c r="D65" s="164" t="s">
        <v>193</v>
      </c>
      <c r="E65" s="164"/>
      <c r="F65" s="164"/>
      <c r="G65" s="164">
        <f>+G61+G60</f>
        <v>0</v>
      </c>
      <c r="H65" s="159"/>
      <c r="I65" s="179"/>
    </row>
    <row r="66" spans="3:21" x14ac:dyDescent="0.3">
      <c r="H66" s="180"/>
      <c r="I66" s="179"/>
    </row>
    <row r="67" spans="3:21" x14ac:dyDescent="0.3">
      <c r="H67" s="180"/>
      <c r="I67" s="179"/>
    </row>
    <row r="68" spans="3:21" x14ac:dyDescent="0.3">
      <c r="C68" s="221" t="s">
        <v>194</v>
      </c>
      <c r="H68" s="180"/>
      <c r="I68" s="179"/>
    </row>
    <row r="69" spans="3:21" x14ac:dyDescent="0.3">
      <c r="C69" s="757" t="s">
        <v>190</v>
      </c>
      <c r="D69" s="757"/>
      <c r="E69" s="757"/>
      <c r="F69" s="757"/>
      <c r="I69" s="179"/>
    </row>
    <row r="70" spans="3:21" x14ac:dyDescent="0.3">
      <c r="C70" s="183"/>
      <c r="D70" s="182" t="s">
        <v>195</v>
      </c>
      <c r="E70" s="209" t="s">
        <v>185</v>
      </c>
      <c r="F70" s="209" t="s">
        <v>155</v>
      </c>
      <c r="G70" s="209" t="s">
        <v>196</v>
      </c>
      <c r="H70" s="209" t="s">
        <v>191</v>
      </c>
    </row>
    <row r="71" spans="3:21" x14ac:dyDescent="0.3">
      <c r="C71" s="178" t="s">
        <v>197</v>
      </c>
      <c r="D71" s="178">
        <v>90</v>
      </c>
      <c r="E71" s="238">
        <f>+N45</f>
        <v>17</v>
      </c>
      <c r="F71" s="168">
        <v>1.3</v>
      </c>
      <c r="G71" s="168">
        <v>2</v>
      </c>
      <c r="H71" s="168">
        <f>+G71*F71*E71*D71</f>
        <v>3978.0000000000005</v>
      </c>
    </row>
    <row r="72" spans="3:21" x14ac:dyDescent="0.3">
      <c r="C72" s="178" t="s">
        <v>198</v>
      </c>
      <c r="D72" s="178"/>
      <c r="E72" s="168"/>
      <c r="F72" s="168"/>
      <c r="G72" s="168"/>
      <c r="H72" s="168"/>
      <c r="S72" s="210"/>
      <c r="T72" s="210"/>
      <c r="U72" s="210"/>
    </row>
    <row r="73" spans="3:21" x14ac:dyDescent="0.3">
      <c r="C73" s="178"/>
      <c r="D73" s="178"/>
      <c r="E73" s="168"/>
      <c r="F73" s="168"/>
      <c r="G73" s="168"/>
      <c r="H73" s="168"/>
      <c r="S73" s="210"/>
      <c r="T73" s="210"/>
      <c r="U73" s="210"/>
    </row>
    <row r="74" spans="3:21" x14ac:dyDescent="0.3">
      <c r="C74" s="176"/>
      <c r="D74" s="175"/>
      <c r="E74" s="175"/>
      <c r="F74" s="175"/>
      <c r="G74" s="175"/>
      <c r="H74" s="175"/>
    </row>
    <row r="75" spans="3:21" x14ac:dyDescent="0.3">
      <c r="C75" s="176"/>
      <c r="D75" s="167"/>
      <c r="E75" s="166"/>
      <c r="F75" s="165"/>
      <c r="G75" s="165"/>
      <c r="H75" s="165"/>
    </row>
    <row r="76" spans="3:21" x14ac:dyDescent="0.3">
      <c r="C76" s="202"/>
      <c r="D76" s="164" t="s">
        <v>193</v>
      </c>
      <c r="E76" s="164"/>
      <c r="F76" s="164"/>
      <c r="G76" s="164"/>
      <c r="H76" s="164">
        <f>+H72+H71</f>
        <v>3978.0000000000005</v>
      </c>
    </row>
    <row r="78" spans="3:21" x14ac:dyDescent="0.3">
      <c r="H78" s="164">
        <f>+H76+G65</f>
        <v>3978.0000000000005</v>
      </c>
    </row>
    <row r="79" spans="3:21" x14ac:dyDescent="0.3">
      <c r="C79" s="221" t="s">
        <v>199</v>
      </c>
    </row>
    <row r="85" spans="7:9" x14ac:dyDescent="0.3">
      <c r="I85" s="220" t="s">
        <v>97</v>
      </c>
    </row>
    <row r="86" spans="7:9" x14ac:dyDescent="0.3">
      <c r="G86" s="221" t="s">
        <v>200</v>
      </c>
      <c r="I86" s="220">
        <f>26.5/1.18</f>
        <v>22.457627118644069</v>
      </c>
    </row>
    <row r="87" spans="7:9" x14ac:dyDescent="0.3">
      <c r="G87" s="221" t="s">
        <v>201</v>
      </c>
      <c r="I87" s="220">
        <f>+I86/20</f>
        <v>1.1228813559322035</v>
      </c>
    </row>
    <row r="88" spans="7:9" x14ac:dyDescent="0.3">
      <c r="G88" s="221" t="s">
        <v>202</v>
      </c>
      <c r="I88" s="220">
        <v>0.18</v>
      </c>
    </row>
    <row r="89" spans="7:9" x14ac:dyDescent="0.3">
      <c r="G89" s="221" t="s">
        <v>203</v>
      </c>
      <c r="I89" s="158">
        <f>+I87+I88</f>
        <v>1.3028813559322034</v>
      </c>
    </row>
    <row r="91" spans="7:9" x14ac:dyDescent="0.3">
      <c r="G91" s="221" t="s">
        <v>204</v>
      </c>
    </row>
    <row r="98" spans="3:6" x14ac:dyDescent="0.3">
      <c r="C98" s="221" t="s">
        <v>92</v>
      </c>
    </row>
    <row r="100" spans="3:6" x14ac:dyDescent="0.3">
      <c r="C100" s="221" t="s">
        <v>528</v>
      </c>
    </row>
    <row r="102" spans="3:6" x14ac:dyDescent="0.3">
      <c r="C102" s="221" t="s">
        <v>529</v>
      </c>
    </row>
    <row r="103" spans="3:6" x14ac:dyDescent="0.3">
      <c r="C103" s="221" t="s">
        <v>530</v>
      </c>
      <c r="D103" s="221">
        <v>2</v>
      </c>
      <c r="E103" s="221">
        <v>145</v>
      </c>
      <c r="F103" s="221">
        <f>+E103*D103</f>
        <v>290</v>
      </c>
    </row>
    <row r="104" spans="3:6" x14ac:dyDescent="0.3">
      <c r="C104" s="221" t="s">
        <v>531</v>
      </c>
      <c r="D104" s="221">
        <v>6</v>
      </c>
      <c r="E104" s="221">
        <v>5</v>
      </c>
      <c r="F104" s="221">
        <f t="shared" ref="F104:F108" si="3">+E104*D104</f>
        <v>30</v>
      </c>
    </row>
    <row r="105" spans="3:6" x14ac:dyDescent="0.3">
      <c r="C105" s="221" t="s">
        <v>532</v>
      </c>
      <c r="F105" s="221">
        <f t="shared" si="3"/>
        <v>0</v>
      </c>
    </row>
    <row r="106" spans="3:6" x14ac:dyDescent="0.3">
      <c r="C106" s="221" t="s">
        <v>533</v>
      </c>
      <c r="D106" s="221">
        <v>2</v>
      </c>
      <c r="E106" s="221">
        <f>+E103</f>
        <v>145</v>
      </c>
      <c r="F106" s="221">
        <f t="shared" si="3"/>
        <v>290</v>
      </c>
    </row>
    <row r="107" spans="3:6" x14ac:dyDescent="0.3">
      <c r="F107" s="221">
        <f t="shared" si="3"/>
        <v>0</v>
      </c>
    </row>
    <row r="108" spans="3:6" x14ac:dyDescent="0.3">
      <c r="C108" s="221" t="s">
        <v>534</v>
      </c>
      <c r="D108" s="221">
        <v>1</v>
      </c>
      <c r="E108" s="221">
        <v>350</v>
      </c>
      <c r="F108" s="221">
        <f t="shared" si="3"/>
        <v>350</v>
      </c>
    </row>
    <row r="109" spans="3:6" x14ac:dyDescent="0.3">
      <c r="C109" s="221" t="s">
        <v>536</v>
      </c>
      <c r="D109" s="221">
        <v>400</v>
      </c>
      <c r="E109" s="221">
        <v>1.5</v>
      </c>
      <c r="F109" s="221">
        <f>+E109*D109</f>
        <v>600</v>
      </c>
    </row>
    <row r="110" spans="3:6" x14ac:dyDescent="0.3">
      <c r="F110" s="221">
        <f>SUM(F103:F109)</f>
        <v>1560</v>
      </c>
    </row>
    <row r="111" spans="3:6" x14ac:dyDescent="0.3">
      <c r="C111" s="221" t="s">
        <v>535</v>
      </c>
    </row>
  </sheetData>
  <mergeCells count="6">
    <mergeCell ref="C69:F69"/>
    <mergeCell ref="C4:I4"/>
    <mergeCell ref="C20:I20"/>
    <mergeCell ref="C36:F36"/>
    <mergeCell ref="C47:F47"/>
    <mergeCell ref="C58:F58"/>
  </mergeCells>
  <pageMargins left="0.7" right="0.7" top="0.75" bottom="0.75" header="0.3" footer="0.3"/>
  <pageSetup paperSize="9" scale="8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5" sqref="A15"/>
    </sheetView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25"/>
  <sheetViews>
    <sheetView topLeftCell="A42" zoomScale="112" zoomScaleNormal="112" workbookViewId="0">
      <selection activeCell="AC70" sqref="AC70"/>
    </sheetView>
  </sheetViews>
  <sheetFormatPr baseColWidth="10" defaultColWidth="11.44140625" defaultRowHeight="14.4" x14ac:dyDescent="0.25"/>
  <cols>
    <col min="1" max="1" width="1.6640625" style="401" customWidth="1"/>
    <col min="2" max="2" width="13.33203125" style="401" customWidth="1"/>
    <col min="3" max="3" width="81" style="401" customWidth="1"/>
    <col min="4" max="4" width="11.33203125" style="402" customWidth="1"/>
    <col min="5" max="5" width="9.88671875" style="402" customWidth="1"/>
    <col min="6" max="6" width="13.6640625" style="402" customWidth="1"/>
    <col min="7" max="7" width="9.109375" style="402" customWidth="1"/>
    <col min="8" max="8" width="10.109375" style="403" customWidth="1"/>
    <col min="9" max="9" width="14.109375" style="403" bestFit="1" customWidth="1"/>
    <col min="10" max="10" width="12.33203125" style="403" customWidth="1"/>
    <col min="11" max="11" width="1.6640625" style="401" customWidth="1"/>
    <col min="12" max="12" width="13.33203125" style="401" hidden="1" customWidth="1"/>
    <col min="13" max="13" width="13.6640625" style="401" hidden="1" customWidth="1"/>
    <col min="14" max="23" width="11.44140625" style="401" hidden="1" customWidth="1"/>
    <col min="24" max="26" width="0" style="401" hidden="1" customWidth="1"/>
    <col min="27" max="16384" width="11.44140625" style="401"/>
  </cols>
  <sheetData>
    <row r="1" spans="3:9" hidden="1" x14ac:dyDescent="0.25"/>
    <row r="2" spans="3:9" hidden="1" x14ac:dyDescent="0.25"/>
    <row r="3" spans="3:9" hidden="1" x14ac:dyDescent="0.25">
      <c r="D3" s="402" t="s">
        <v>323</v>
      </c>
      <c r="E3" s="402" t="s">
        <v>324</v>
      </c>
    </row>
    <row r="4" spans="3:9" hidden="1" x14ac:dyDescent="0.25">
      <c r="C4" s="401" t="s">
        <v>325</v>
      </c>
      <c r="D4" s="404">
        <v>10666.67</v>
      </c>
      <c r="E4" s="405">
        <f>ROUND(D4/24,2)</f>
        <v>444.44</v>
      </c>
    </row>
    <row r="5" spans="3:9" hidden="1" x14ac:dyDescent="0.25">
      <c r="C5" s="401" t="s">
        <v>326</v>
      </c>
      <c r="D5" s="404">
        <v>4666.67</v>
      </c>
      <c r="E5" s="405">
        <f>ROUND(D5/24,2)</f>
        <v>194.44</v>
      </c>
    </row>
    <row r="6" spans="3:9" hidden="1" x14ac:dyDescent="0.25">
      <c r="C6" s="401" t="s">
        <v>327</v>
      </c>
      <c r="D6" s="404">
        <v>10407</v>
      </c>
      <c r="E6" s="405">
        <f>ROUND(D6/24,2)</f>
        <v>433.63</v>
      </c>
    </row>
    <row r="7" spans="3:9" hidden="1" x14ac:dyDescent="0.25">
      <c r="C7" s="401" t="s">
        <v>328</v>
      </c>
      <c r="D7" s="404"/>
      <c r="E7" s="405"/>
    </row>
    <row r="8" spans="3:9" hidden="1" x14ac:dyDescent="0.25">
      <c r="C8" s="401" t="s">
        <v>329</v>
      </c>
      <c r="D8" s="404"/>
    </row>
    <row r="9" spans="3:9" hidden="1" x14ac:dyDescent="0.25">
      <c r="C9" s="406"/>
      <c r="D9" s="407"/>
      <c r="I9" s="403" t="s">
        <v>330</v>
      </c>
    </row>
    <row r="10" spans="3:9" hidden="1" x14ac:dyDescent="0.25">
      <c r="C10" s="406"/>
      <c r="D10" s="407">
        <v>1</v>
      </c>
      <c r="E10" s="402" t="s">
        <v>331</v>
      </c>
    </row>
    <row r="11" spans="3:9" hidden="1" x14ac:dyDescent="0.25">
      <c r="C11" s="406"/>
      <c r="D11" s="407"/>
    </row>
    <row r="12" spans="3:9" ht="31.5" hidden="1" customHeight="1" x14ac:dyDescent="0.25">
      <c r="C12" s="408"/>
      <c r="D12" s="407"/>
    </row>
    <row r="13" spans="3:9" hidden="1" x14ac:dyDescent="0.25">
      <c r="C13" s="409" t="s">
        <v>332</v>
      </c>
      <c r="D13" s="410">
        <f>+'Etapa obra OBRA'!C42</f>
        <v>22</v>
      </c>
      <c r="F13" s="402" t="s">
        <v>333</v>
      </c>
    </row>
    <row r="14" spans="3:9" hidden="1" x14ac:dyDescent="0.25">
      <c r="C14" s="401" t="s">
        <v>334</v>
      </c>
      <c r="F14" s="402" t="s">
        <v>322</v>
      </c>
    </row>
    <row r="15" spans="3:9" hidden="1" x14ac:dyDescent="0.25">
      <c r="C15" s="401" t="s">
        <v>335</v>
      </c>
      <c r="D15" s="402">
        <v>10</v>
      </c>
    </row>
    <row r="16" spans="3:9" hidden="1" x14ac:dyDescent="0.25">
      <c r="C16" s="401" t="s">
        <v>336</v>
      </c>
      <c r="D16" s="402">
        <f>PlazoMes*25</f>
        <v>250</v>
      </c>
    </row>
    <row r="17" spans="3:7" hidden="1" x14ac:dyDescent="0.25">
      <c r="C17" s="401" t="s">
        <v>337</v>
      </c>
      <c r="D17" s="402">
        <v>2</v>
      </c>
      <c r="F17" s="402">
        <v>250</v>
      </c>
      <c r="G17" s="402" t="s">
        <v>338</v>
      </c>
    </row>
    <row r="18" spans="3:7" hidden="1" x14ac:dyDescent="0.25">
      <c r="C18" s="401" t="s">
        <v>339</v>
      </c>
    </row>
    <row r="19" spans="3:7" hidden="1" x14ac:dyDescent="0.25"/>
    <row r="20" spans="3:7" hidden="1" x14ac:dyDescent="0.25">
      <c r="C20" s="401" t="s">
        <v>340</v>
      </c>
      <c r="E20" s="402" t="s">
        <v>338</v>
      </c>
    </row>
    <row r="21" spans="3:7" hidden="1" x14ac:dyDescent="0.25">
      <c r="C21" s="401" t="s">
        <v>341</v>
      </c>
    </row>
    <row r="22" spans="3:7" hidden="1" x14ac:dyDescent="0.25">
      <c r="C22" s="401" t="s">
        <v>342</v>
      </c>
    </row>
    <row r="23" spans="3:7" hidden="1" x14ac:dyDescent="0.25">
      <c r="C23" s="401" t="s">
        <v>343</v>
      </c>
    </row>
    <row r="24" spans="3:7" hidden="1" x14ac:dyDescent="0.25">
      <c r="C24" s="401" t="s">
        <v>344</v>
      </c>
    </row>
    <row r="25" spans="3:7" ht="17.25" hidden="1" customHeight="1" x14ac:dyDescent="0.25">
      <c r="C25" s="401" t="s">
        <v>462</v>
      </c>
      <c r="D25" s="402">
        <v>120</v>
      </c>
      <c r="E25" s="402" t="s">
        <v>338</v>
      </c>
    </row>
    <row r="26" spans="3:7" hidden="1" x14ac:dyDescent="0.25"/>
    <row r="27" spans="3:7" hidden="1" x14ac:dyDescent="0.25">
      <c r="C27" s="401" t="s">
        <v>345</v>
      </c>
      <c r="D27" s="402">
        <f>1.8*D29</f>
        <v>3.6</v>
      </c>
      <c r="E27" s="402" t="s">
        <v>338</v>
      </c>
    </row>
    <row r="28" spans="3:7" hidden="1" x14ac:dyDescent="0.25"/>
    <row r="29" spans="3:7" hidden="1" x14ac:dyDescent="0.25">
      <c r="C29" s="401" t="s">
        <v>346</v>
      </c>
      <c r="D29" s="402">
        <v>2</v>
      </c>
    </row>
    <row r="30" spans="3:7" hidden="1" x14ac:dyDescent="0.25"/>
    <row r="31" spans="3:7" hidden="1" x14ac:dyDescent="0.25"/>
    <row r="32" spans="3:7" hidden="1" x14ac:dyDescent="0.25"/>
    <row r="33" spans="2:13" hidden="1" x14ac:dyDescent="0.25">
      <c r="C33" s="401" t="s">
        <v>347</v>
      </c>
      <c r="D33" s="402">
        <f>50/66</f>
        <v>0.75757575757575757</v>
      </c>
      <c r="E33" s="402" t="s">
        <v>348</v>
      </c>
    </row>
    <row r="34" spans="2:13" hidden="1" x14ac:dyDescent="0.25">
      <c r="C34" s="401" t="s">
        <v>349</v>
      </c>
      <c r="D34" s="402">
        <f>D33*3</f>
        <v>2.2727272727272725</v>
      </c>
    </row>
    <row r="35" spans="2:13" hidden="1" x14ac:dyDescent="0.25">
      <c r="C35" s="401" t="s">
        <v>350</v>
      </c>
      <c r="D35" s="402">
        <f>D34*2</f>
        <v>4.545454545454545</v>
      </c>
    </row>
    <row r="36" spans="2:13" hidden="1" x14ac:dyDescent="0.25">
      <c r="C36" s="401" t="s">
        <v>351</v>
      </c>
      <c r="D36" s="402">
        <v>5</v>
      </c>
      <c r="E36" s="402" t="s">
        <v>348</v>
      </c>
    </row>
    <row r="37" spans="2:13" hidden="1" x14ac:dyDescent="0.25">
      <c r="C37" s="401" t="s">
        <v>352</v>
      </c>
      <c r="D37" s="402">
        <v>4</v>
      </c>
      <c r="E37" s="402" t="s">
        <v>348</v>
      </c>
    </row>
    <row r="38" spans="2:13" hidden="1" x14ac:dyDescent="0.25"/>
    <row r="39" spans="2:13" hidden="1" x14ac:dyDescent="0.25">
      <c r="C39" s="401" t="s">
        <v>353</v>
      </c>
      <c r="D39" s="402">
        <v>0.216</v>
      </c>
    </row>
    <row r="40" spans="2:13" hidden="1" x14ac:dyDescent="0.25">
      <c r="C40" s="401" t="s">
        <v>354</v>
      </c>
      <c r="D40" s="402">
        <f>D39*8</f>
        <v>1.728</v>
      </c>
    </row>
    <row r="41" spans="2:13" hidden="1" x14ac:dyDescent="0.25"/>
    <row r="42" spans="2:13" ht="15" thickBot="1" x14ac:dyDescent="0.3"/>
    <row r="43" spans="2:13" ht="24.75" customHeight="1" thickBot="1" x14ac:dyDescent="0.3">
      <c r="B43" s="740" t="s">
        <v>355</v>
      </c>
      <c r="C43" s="741"/>
      <c r="D43" s="741"/>
      <c r="E43" s="741"/>
      <c r="F43" s="741"/>
      <c r="G43" s="741"/>
      <c r="H43" s="741"/>
      <c r="I43" s="741"/>
      <c r="J43" s="742"/>
      <c r="M43" s="401" t="s">
        <v>356</v>
      </c>
    </row>
    <row r="44" spans="2:13" ht="52.5" customHeight="1" thickBot="1" x14ac:dyDescent="0.3">
      <c r="B44" s="743" t="s">
        <v>106</v>
      </c>
      <c r="C44" s="744"/>
      <c r="D44" s="411" t="s">
        <v>18</v>
      </c>
      <c r="E44" s="412" t="s">
        <v>357</v>
      </c>
      <c r="F44" s="412" t="s">
        <v>358</v>
      </c>
      <c r="G44" s="413" t="s">
        <v>294</v>
      </c>
      <c r="H44" s="414" t="s">
        <v>359</v>
      </c>
      <c r="I44" s="414" t="s">
        <v>360</v>
      </c>
      <c r="J44" s="415" t="s">
        <v>361</v>
      </c>
    </row>
    <row r="45" spans="2:13" x14ac:dyDescent="0.25">
      <c r="B45" s="416"/>
      <c r="C45" s="417"/>
      <c r="D45" s="418"/>
      <c r="E45" s="419"/>
      <c r="F45" s="419"/>
      <c r="G45" s="419"/>
      <c r="H45" s="420"/>
      <c r="I45" s="420"/>
      <c r="J45" s="421"/>
    </row>
    <row r="46" spans="2:13" ht="46.95" customHeight="1" x14ac:dyDescent="0.25">
      <c r="B46" s="502">
        <v>1.04</v>
      </c>
      <c r="C46" s="503" t="s">
        <v>480</v>
      </c>
      <c r="D46" s="504"/>
      <c r="E46" s="505"/>
      <c r="F46" s="505"/>
      <c r="G46" s="505"/>
      <c r="H46" s="506"/>
      <c r="I46" s="506"/>
      <c r="J46" s="507">
        <f>+J117</f>
        <v>0</v>
      </c>
    </row>
    <row r="47" spans="2:13" ht="36.6" customHeight="1" x14ac:dyDescent="0.25">
      <c r="B47" s="473">
        <f>+B46+0.0001</f>
        <v>1.0401</v>
      </c>
      <c r="C47" s="474" t="s">
        <v>279</v>
      </c>
      <c r="D47" s="469"/>
      <c r="E47" s="470"/>
      <c r="F47" s="470"/>
      <c r="G47" s="470"/>
      <c r="H47" s="471"/>
      <c r="I47" s="471"/>
      <c r="J47" s="472">
        <f>SUM(J48)</f>
        <v>0</v>
      </c>
    </row>
    <row r="48" spans="2:13" ht="51.6" customHeight="1" x14ac:dyDescent="0.25">
      <c r="B48" s="478"/>
      <c r="C48" s="479" t="s">
        <v>362</v>
      </c>
      <c r="D48" s="480" t="s">
        <v>363</v>
      </c>
      <c r="E48" s="481">
        <v>1</v>
      </c>
      <c r="F48" s="481"/>
      <c r="G48" s="481"/>
      <c r="H48" s="482"/>
      <c r="I48" s="482">
        <f>+I49+I50</f>
        <v>0</v>
      </c>
      <c r="J48" s="425">
        <f>ROUND(E48*I48,2)</f>
        <v>0</v>
      </c>
    </row>
    <row r="49" spans="1:15" ht="32.25" customHeight="1" x14ac:dyDescent="0.25">
      <c r="B49" s="490"/>
      <c r="C49" s="491" t="s">
        <v>364</v>
      </c>
      <c r="D49" s="486" t="s">
        <v>205</v>
      </c>
      <c r="E49" s="487"/>
      <c r="F49" s="487"/>
      <c r="G49" s="487">
        <v>10</v>
      </c>
      <c r="H49" s="644"/>
      <c r="I49" s="488">
        <f>ROUND(G49*H49,2)</f>
        <v>0</v>
      </c>
      <c r="J49" s="432"/>
      <c r="L49" s="433"/>
    </row>
    <row r="50" spans="1:15" ht="38.4" customHeight="1" x14ac:dyDescent="0.25">
      <c r="B50" s="484"/>
      <c r="C50" s="491" t="s">
        <v>365</v>
      </c>
      <c r="D50" s="486" t="s">
        <v>366</v>
      </c>
      <c r="E50" s="487"/>
      <c r="F50" s="487"/>
      <c r="G50" s="487">
        <v>2</v>
      </c>
      <c r="H50" s="644"/>
      <c r="I50" s="488">
        <f>ROUND(G50*H50,2)</f>
        <v>0</v>
      </c>
      <c r="J50" s="432"/>
      <c r="L50" s="433" t="s">
        <v>367</v>
      </c>
    </row>
    <row r="51" spans="1:15" x14ac:dyDescent="0.25">
      <c r="B51" s="434"/>
      <c r="C51" s="431"/>
      <c r="D51" s="422"/>
      <c r="E51" s="423"/>
      <c r="F51" s="423"/>
      <c r="G51" s="423"/>
      <c r="H51" s="644"/>
      <c r="I51" s="424"/>
      <c r="J51" s="432"/>
      <c r="L51" s="433"/>
    </row>
    <row r="52" spans="1:15" ht="18" customHeight="1" x14ac:dyDescent="0.25">
      <c r="A52" s="401" t="s">
        <v>368</v>
      </c>
      <c r="B52" s="473">
        <f>+B47+0.0001</f>
        <v>1.0402</v>
      </c>
      <c r="C52" s="468" t="s">
        <v>281</v>
      </c>
      <c r="D52" s="469"/>
      <c r="E52" s="470"/>
      <c r="F52" s="470"/>
      <c r="G52" s="470"/>
      <c r="H52" s="644"/>
      <c r="I52" s="471"/>
      <c r="J52" s="472">
        <f>+J53</f>
        <v>0</v>
      </c>
      <c r="L52" s="435"/>
    </row>
    <row r="53" spans="1:15" ht="39" customHeight="1" x14ac:dyDescent="0.25">
      <c r="B53" s="426"/>
      <c r="C53" s="427" t="s">
        <v>369</v>
      </c>
      <c r="D53" s="428" t="s">
        <v>7</v>
      </c>
      <c r="E53" s="429">
        <v>10</v>
      </c>
      <c r="F53" s="429"/>
      <c r="G53" s="429"/>
      <c r="H53" s="645"/>
      <c r="I53" s="430">
        <f>+SUM(I54:I56)</f>
        <v>0</v>
      </c>
      <c r="J53" s="425">
        <f>ROUND(PRODUCT(E53:I53),2)</f>
        <v>0</v>
      </c>
      <c r="L53" s="435"/>
    </row>
    <row r="54" spans="1:15" ht="30" customHeight="1" x14ac:dyDescent="0.25">
      <c r="B54" s="484"/>
      <c r="C54" s="491" t="s">
        <v>370</v>
      </c>
      <c r="D54" s="486" t="s">
        <v>7</v>
      </c>
      <c r="E54" s="487"/>
      <c r="F54" s="487">
        <v>1</v>
      </c>
      <c r="G54" s="487">
        <v>1</v>
      </c>
      <c r="H54" s="644"/>
      <c r="I54" s="488">
        <f>ROUND(H54*G54*F54,2)</f>
        <v>0</v>
      </c>
      <c r="J54" s="432"/>
      <c r="L54" s="435"/>
    </row>
    <row r="55" spans="1:15" ht="27.6" x14ac:dyDescent="0.25">
      <c r="B55" s="484"/>
      <c r="C55" s="491" t="s">
        <v>371</v>
      </c>
      <c r="D55" s="486" t="s">
        <v>7</v>
      </c>
      <c r="E55" s="487"/>
      <c r="F55" s="487">
        <v>1</v>
      </c>
      <c r="G55" s="487">
        <f>D25</f>
        <v>120</v>
      </c>
      <c r="H55" s="644"/>
      <c r="I55" s="488">
        <f t="shared" ref="I55:I56" si="0">ROUND(H55*G55*F55,2)</f>
        <v>0</v>
      </c>
      <c r="J55" s="432"/>
      <c r="L55" s="435"/>
      <c r="O55" s="436" t="s">
        <v>372</v>
      </c>
    </row>
    <row r="56" spans="1:15" ht="27.6" x14ac:dyDescent="0.25">
      <c r="B56" s="484"/>
      <c r="C56" s="491" t="s">
        <v>373</v>
      </c>
      <c r="D56" s="486" t="s">
        <v>7</v>
      </c>
      <c r="E56" s="487"/>
      <c r="F56" s="487">
        <v>1</v>
      </c>
      <c r="G56" s="487">
        <f>+D27</f>
        <v>3.6</v>
      </c>
      <c r="H56" s="644"/>
      <c r="I56" s="488">
        <f t="shared" si="0"/>
        <v>0</v>
      </c>
      <c r="J56" s="432"/>
      <c r="L56" s="435"/>
      <c r="M56" s="401" t="s">
        <v>374</v>
      </c>
    </row>
    <row r="57" spans="1:15" x14ac:dyDescent="0.25">
      <c r="B57" s="434"/>
      <c r="C57" s="431"/>
      <c r="D57" s="422"/>
      <c r="E57" s="423"/>
      <c r="F57" s="423"/>
      <c r="G57" s="423"/>
      <c r="H57" s="644"/>
      <c r="I57" s="424"/>
      <c r="J57" s="432"/>
      <c r="L57" s="435"/>
    </row>
    <row r="58" spans="1:15" ht="35.25" customHeight="1" x14ac:dyDescent="0.25">
      <c r="A58" s="401" t="s">
        <v>375</v>
      </c>
      <c r="B58" s="473">
        <f>+B52+0.0001</f>
        <v>1.0403</v>
      </c>
      <c r="C58" s="468" t="s">
        <v>282</v>
      </c>
      <c r="D58" s="475"/>
      <c r="E58" s="476"/>
      <c r="F58" s="476"/>
      <c r="G58" s="476"/>
      <c r="H58" s="645"/>
      <c r="I58" s="477"/>
      <c r="J58" s="472">
        <f>+J59</f>
        <v>0</v>
      </c>
      <c r="L58" s="435"/>
    </row>
    <row r="59" spans="1:15" ht="31.2" customHeight="1" x14ac:dyDescent="0.25">
      <c r="B59" s="478"/>
      <c r="C59" s="500" t="s">
        <v>376</v>
      </c>
      <c r="D59" s="480" t="s">
        <v>363</v>
      </c>
      <c r="E59" s="481">
        <v>1</v>
      </c>
      <c r="F59" s="481"/>
      <c r="G59" s="481"/>
      <c r="H59" s="645"/>
      <c r="I59" s="482">
        <f>+SUM(I60:I62)</f>
        <v>0</v>
      </c>
      <c r="J59" s="483">
        <f>ROUND(PRODUCT(E59:I59),2)</f>
        <v>0</v>
      </c>
      <c r="L59" s="435"/>
    </row>
    <row r="60" spans="1:15" ht="21" customHeight="1" x14ac:dyDescent="0.25">
      <c r="B60" s="484"/>
      <c r="C60" s="491" t="s">
        <v>377</v>
      </c>
      <c r="D60" s="486" t="s">
        <v>378</v>
      </c>
      <c r="E60" s="487"/>
      <c r="F60" s="487"/>
      <c r="G60" s="487">
        <v>1</v>
      </c>
      <c r="H60" s="646"/>
      <c r="I60" s="488">
        <f>ROUND(G60*H60,2)</f>
        <v>0</v>
      </c>
      <c r="J60" s="489"/>
      <c r="L60" s="437" t="s">
        <v>379</v>
      </c>
      <c r="M60" s="437" t="s">
        <v>380</v>
      </c>
    </row>
    <row r="61" spans="1:15" ht="21" customHeight="1" x14ac:dyDescent="0.25">
      <c r="B61" s="484"/>
      <c r="C61" s="491" t="s">
        <v>381</v>
      </c>
      <c r="D61" s="486" t="s">
        <v>378</v>
      </c>
      <c r="E61" s="487"/>
      <c r="F61" s="487"/>
      <c r="G61" s="487">
        <v>1</v>
      </c>
      <c r="H61" s="646"/>
      <c r="I61" s="488">
        <f>ROUND(G61*H61,2)</f>
        <v>0</v>
      </c>
      <c r="J61" s="489"/>
      <c r="L61" s="437" t="s">
        <v>382</v>
      </c>
      <c r="M61" s="437" t="s">
        <v>383</v>
      </c>
    </row>
    <row r="62" spans="1:15" ht="27.6" x14ac:dyDescent="0.25">
      <c r="B62" s="434"/>
      <c r="C62" s="431" t="s">
        <v>384</v>
      </c>
      <c r="D62" s="422" t="s">
        <v>385</v>
      </c>
      <c r="E62" s="423"/>
      <c r="F62" s="423"/>
      <c r="G62" s="423"/>
      <c r="H62" s="644"/>
      <c r="I62" s="424"/>
      <c r="J62" s="432"/>
    </row>
    <row r="63" spans="1:15" x14ac:dyDescent="0.25">
      <c r="B63" s="434"/>
      <c r="C63" s="438"/>
      <c r="D63" s="422"/>
      <c r="E63" s="423"/>
      <c r="F63" s="423"/>
      <c r="G63" s="423"/>
      <c r="H63" s="644"/>
      <c r="I63" s="424"/>
      <c r="J63" s="432"/>
    </row>
    <row r="64" spans="1:15" ht="19.95" customHeight="1" x14ac:dyDescent="0.25">
      <c r="A64" s="401" t="s">
        <v>386</v>
      </c>
      <c r="B64" s="473">
        <f>+B58+0.0001</f>
        <v>1.0404</v>
      </c>
      <c r="C64" s="468" t="s">
        <v>283</v>
      </c>
      <c r="D64" s="475"/>
      <c r="E64" s="476"/>
      <c r="F64" s="476"/>
      <c r="G64" s="476"/>
      <c r="H64" s="645"/>
      <c r="I64" s="477"/>
      <c r="J64" s="472">
        <f>+J65</f>
        <v>0</v>
      </c>
      <c r="L64" s="435"/>
    </row>
    <row r="65" spans="1:22" ht="46.2" customHeight="1" x14ac:dyDescent="0.25">
      <c r="B65" s="478"/>
      <c r="C65" s="479" t="s">
        <v>387</v>
      </c>
      <c r="D65" s="480" t="s">
        <v>7</v>
      </c>
      <c r="E65" s="481">
        <v>10</v>
      </c>
      <c r="F65" s="481"/>
      <c r="G65" s="481"/>
      <c r="H65" s="645"/>
      <c r="I65" s="482">
        <f>+SUM(I66:I78)</f>
        <v>0</v>
      </c>
      <c r="J65" s="483">
        <f>ROUND(PRODUCT(E65:I65),2)</f>
        <v>0</v>
      </c>
      <c r="L65" s="435"/>
    </row>
    <row r="66" spans="1:22" ht="19.95" customHeight="1" x14ac:dyDescent="0.25">
      <c r="B66" s="484"/>
      <c r="C66" s="485" t="s">
        <v>388</v>
      </c>
      <c r="D66" s="486" t="s">
        <v>205</v>
      </c>
      <c r="E66" s="487"/>
      <c r="F66" s="487"/>
      <c r="G66" s="487">
        <f>+'Etapa obra OBRA'!N44</f>
        <v>0.43</v>
      </c>
      <c r="H66" s="647"/>
      <c r="I66" s="488">
        <f t="shared" ref="I66:I78" si="1">ROUND(H66*G66,2)</f>
        <v>0</v>
      </c>
      <c r="J66" s="489"/>
      <c r="L66" s="439" t="s">
        <v>389</v>
      </c>
      <c r="M66" s="401" t="s">
        <v>390</v>
      </c>
      <c r="N66" s="401">
        <v>14.2</v>
      </c>
      <c r="O66" s="401" t="s">
        <v>391</v>
      </c>
      <c r="P66" s="401" t="s">
        <v>392</v>
      </c>
      <c r="Q66" s="440">
        <f>14.2*3.785</f>
        <v>53.747</v>
      </c>
      <c r="U66" s="441"/>
      <c r="V66" s="441"/>
    </row>
    <row r="67" spans="1:22" ht="19.95" customHeight="1" x14ac:dyDescent="0.25">
      <c r="B67" s="484"/>
      <c r="C67" s="485" t="s">
        <v>393</v>
      </c>
      <c r="D67" s="486" t="s">
        <v>378</v>
      </c>
      <c r="E67" s="487"/>
      <c r="F67" s="487"/>
      <c r="G67" s="487">
        <f>+'Etapa obra OBRA'!O44</f>
        <v>0.29000000000000004</v>
      </c>
      <c r="H67" s="647"/>
      <c r="I67" s="488">
        <f t="shared" si="1"/>
        <v>0</v>
      </c>
      <c r="J67" s="489"/>
      <c r="L67" s="439"/>
      <c r="U67" s="441"/>
      <c r="V67" s="441"/>
    </row>
    <row r="68" spans="1:22" ht="19.95" customHeight="1" x14ac:dyDescent="0.25">
      <c r="B68" s="484"/>
      <c r="C68" s="485" t="s">
        <v>394</v>
      </c>
      <c r="D68" s="486" t="s">
        <v>378</v>
      </c>
      <c r="E68" s="487"/>
      <c r="F68" s="487"/>
      <c r="G68" s="487">
        <f>+'Etapa obra OBRA'!P44</f>
        <v>0.65</v>
      </c>
      <c r="H68" s="647"/>
      <c r="I68" s="488">
        <f t="shared" si="1"/>
        <v>0</v>
      </c>
      <c r="J68" s="489"/>
      <c r="L68" s="439" t="s">
        <v>395</v>
      </c>
      <c r="M68" s="401" t="s">
        <v>396</v>
      </c>
      <c r="U68" s="441"/>
      <c r="V68" s="441"/>
    </row>
    <row r="69" spans="1:22" ht="19.95" customHeight="1" x14ac:dyDescent="0.25">
      <c r="B69" s="484"/>
      <c r="C69" s="485" t="s">
        <v>397</v>
      </c>
      <c r="D69" s="486" t="s">
        <v>378</v>
      </c>
      <c r="E69" s="487"/>
      <c r="F69" s="487"/>
      <c r="G69" s="487">
        <f>+'Etapa obra OBRA'!Q44</f>
        <v>8.17</v>
      </c>
      <c r="H69" s="647"/>
      <c r="I69" s="488">
        <f t="shared" si="1"/>
        <v>0</v>
      </c>
      <c r="J69" s="489"/>
      <c r="L69" s="439" t="s">
        <v>398</v>
      </c>
      <c r="M69" s="401" t="s">
        <v>396</v>
      </c>
      <c r="U69" s="441"/>
      <c r="V69" s="441"/>
    </row>
    <row r="70" spans="1:22" ht="19.95" customHeight="1" x14ac:dyDescent="0.25">
      <c r="B70" s="484"/>
      <c r="C70" s="485" t="s">
        <v>399</v>
      </c>
      <c r="D70" s="486" t="s">
        <v>378</v>
      </c>
      <c r="E70" s="487"/>
      <c r="F70" s="487"/>
      <c r="G70" s="487">
        <f>+'Etapa obra OBRA'!R44</f>
        <v>1.07</v>
      </c>
      <c r="H70" s="647"/>
      <c r="I70" s="488">
        <f t="shared" si="1"/>
        <v>0</v>
      </c>
      <c r="J70" s="489"/>
      <c r="L70" s="439"/>
      <c r="U70" s="441"/>
      <c r="V70" s="441"/>
    </row>
    <row r="71" spans="1:22" ht="28.2" customHeight="1" x14ac:dyDescent="0.25">
      <c r="B71" s="484"/>
      <c r="C71" s="485" t="s">
        <v>400</v>
      </c>
      <c r="D71" s="486" t="s">
        <v>205</v>
      </c>
      <c r="E71" s="487"/>
      <c r="F71" s="487"/>
      <c r="G71" s="487">
        <f>+'Etapa obra OBRA'!S44</f>
        <v>1.02</v>
      </c>
      <c r="H71" s="647"/>
      <c r="I71" s="488">
        <f t="shared" si="1"/>
        <v>0</v>
      </c>
      <c r="J71" s="489"/>
      <c r="L71" s="439"/>
      <c r="U71" s="441"/>
      <c r="V71" s="441"/>
    </row>
    <row r="72" spans="1:22" ht="19.95" customHeight="1" x14ac:dyDescent="0.25">
      <c r="B72" s="484"/>
      <c r="C72" s="485" t="s">
        <v>401</v>
      </c>
      <c r="D72" s="486" t="s">
        <v>378</v>
      </c>
      <c r="E72" s="487"/>
      <c r="F72" s="487"/>
      <c r="G72" s="487">
        <f>+'Etapa obra OBRA'!T44</f>
        <v>12.129999999999999</v>
      </c>
      <c r="H72" s="647"/>
      <c r="I72" s="488">
        <f t="shared" si="1"/>
        <v>0</v>
      </c>
      <c r="J72" s="489"/>
      <c r="L72" s="439" t="s">
        <v>402</v>
      </c>
      <c r="U72" s="441"/>
      <c r="V72" s="441"/>
    </row>
    <row r="73" spans="1:22" ht="19.95" customHeight="1" x14ac:dyDescent="0.25">
      <c r="B73" s="484"/>
      <c r="C73" s="485" t="s">
        <v>403</v>
      </c>
      <c r="D73" s="486" t="s">
        <v>378</v>
      </c>
      <c r="E73" s="487"/>
      <c r="F73" s="487"/>
      <c r="G73" s="487">
        <f>ROUND(1/12,2)</f>
        <v>0.08</v>
      </c>
      <c r="H73" s="647"/>
      <c r="I73" s="488">
        <f t="shared" si="1"/>
        <v>0</v>
      </c>
      <c r="J73" s="489"/>
      <c r="L73" s="437" t="s">
        <v>404</v>
      </c>
      <c r="U73" s="441"/>
      <c r="V73" s="441"/>
    </row>
    <row r="74" spans="1:22" ht="19.95" customHeight="1" x14ac:dyDescent="0.25">
      <c r="B74" s="484"/>
      <c r="C74" s="485" t="s">
        <v>405</v>
      </c>
      <c r="D74" s="486" t="s">
        <v>378</v>
      </c>
      <c r="E74" s="487"/>
      <c r="F74" s="487"/>
      <c r="G74" s="487">
        <f>ROUND(1/12,2)</f>
        <v>0.08</v>
      </c>
      <c r="H74" s="647"/>
      <c r="I74" s="488">
        <f t="shared" si="1"/>
        <v>0</v>
      </c>
      <c r="J74" s="489"/>
      <c r="L74" s="437" t="s">
        <v>406</v>
      </c>
      <c r="U74" s="441"/>
      <c r="V74" s="441"/>
    </row>
    <row r="75" spans="1:22" ht="19.95" customHeight="1" x14ac:dyDescent="0.25">
      <c r="B75" s="484"/>
      <c r="C75" s="485" t="s">
        <v>407</v>
      </c>
      <c r="D75" s="486" t="s">
        <v>378</v>
      </c>
      <c r="E75" s="487"/>
      <c r="F75" s="487"/>
      <c r="G75" s="487">
        <f>ROUND(PlazoDia/12,2)</f>
        <v>20.83</v>
      </c>
      <c r="H75" s="647"/>
      <c r="I75" s="488">
        <f t="shared" si="1"/>
        <v>0</v>
      </c>
      <c r="J75" s="489"/>
      <c r="L75" s="437"/>
      <c r="U75" s="441"/>
      <c r="V75" s="441"/>
    </row>
    <row r="76" spans="1:22" ht="19.95" customHeight="1" x14ac:dyDescent="0.25">
      <c r="B76" s="484"/>
      <c r="C76" s="485" t="s">
        <v>408</v>
      </c>
      <c r="D76" s="486" t="s">
        <v>378</v>
      </c>
      <c r="E76" s="487"/>
      <c r="F76" s="487"/>
      <c r="G76" s="487">
        <f>G75</f>
        <v>20.83</v>
      </c>
      <c r="H76" s="647"/>
      <c r="I76" s="488">
        <f t="shared" si="1"/>
        <v>0</v>
      </c>
      <c r="J76" s="489"/>
      <c r="L76" s="437"/>
      <c r="U76" s="441"/>
      <c r="V76" s="441"/>
    </row>
    <row r="77" spans="1:22" ht="27.6" x14ac:dyDescent="0.25">
      <c r="B77" s="484"/>
      <c r="C77" s="485" t="s">
        <v>409</v>
      </c>
      <c r="D77" s="486" t="s">
        <v>378</v>
      </c>
      <c r="E77" s="487"/>
      <c r="F77" s="487"/>
      <c r="G77" s="487">
        <f>ROUND(1/12,2)</f>
        <v>0.08</v>
      </c>
      <c r="H77" s="647"/>
      <c r="I77" s="488">
        <f t="shared" si="1"/>
        <v>0</v>
      </c>
      <c r="J77" s="489"/>
      <c r="L77" s="437" t="s">
        <v>410</v>
      </c>
      <c r="U77" s="441"/>
      <c r="V77" s="441"/>
    </row>
    <row r="78" spans="1:22" ht="21" customHeight="1" x14ac:dyDescent="0.25">
      <c r="B78" s="484"/>
      <c r="C78" s="485" t="s">
        <v>411</v>
      </c>
      <c r="D78" s="486" t="s">
        <v>412</v>
      </c>
      <c r="E78" s="487"/>
      <c r="F78" s="487"/>
      <c r="G78" s="487">
        <v>1.2</v>
      </c>
      <c r="H78" s="647"/>
      <c r="I78" s="488">
        <f t="shared" si="1"/>
        <v>0</v>
      </c>
      <c r="J78" s="489"/>
      <c r="L78" s="439" t="s">
        <v>413</v>
      </c>
      <c r="M78" s="401" t="s">
        <v>396</v>
      </c>
      <c r="U78" s="441"/>
      <c r="V78" s="441"/>
    </row>
    <row r="79" spans="1:22" x14ac:dyDescent="0.25">
      <c r="B79" s="484"/>
      <c r="C79" s="485"/>
      <c r="D79" s="486"/>
      <c r="E79" s="487"/>
      <c r="F79" s="487"/>
      <c r="G79" s="487"/>
      <c r="H79" s="647"/>
      <c r="I79" s="488"/>
      <c r="J79" s="489"/>
      <c r="L79" s="439"/>
      <c r="U79" s="441"/>
      <c r="V79" s="441"/>
    </row>
    <row r="80" spans="1:22" ht="28.95" customHeight="1" x14ac:dyDescent="0.25">
      <c r="A80" s="401" t="s">
        <v>414</v>
      </c>
      <c r="B80" s="473">
        <f>+B64+0.0001</f>
        <v>1.0405</v>
      </c>
      <c r="C80" s="501" t="s">
        <v>284</v>
      </c>
      <c r="D80" s="475"/>
      <c r="E80" s="476"/>
      <c r="F80" s="476"/>
      <c r="G80" s="476"/>
      <c r="H80" s="645"/>
      <c r="I80" s="477"/>
      <c r="J80" s="472">
        <f>+J81</f>
        <v>0</v>
      </c>
    </row>
    <row r="81" spans="1:18" ht="29.25" customHeight="1" x14ac:dyDescent="0.25">
      <c r="B81" s="478"/>
      <c r="C81" s="479" t="s">
        <v>415</v>
      </c>
      <c r="D81" s="480" t="s">
        <v>363</v>
      </c>
      <c r="E81" s="481">
        <v>1</v>
      </c>
      <c r="F81" s="481"/>
      <c r="G81" s="481"/>
      <c r="H81" s="645"/>
      <c r="I81" s="482">
        <f>+SUM(I82:I84)</f>
        <v>0</v>
      </c>
      <c r="J81" s="483">
        <f>ROUND(PRODUCT(E81:I81),2)</f>
        <v>0</v>
      </c>
    </row>
    <row r="82" spans="1:18" x14ac:dyDescent="0.25">
      <c r="B82" s="484"/>
      <c r="C82" s="491" t="s">
        <v>416</v>
      </c>
      <c r="D82" s="486" t="s">
        <v>205</v>
      </c>
      <c r="E82" s="487"/>
      <c r="F82" s="487"/>
      <c r="G82" s="487">
        <v>1.2</v>
      </c>
      <c r="H82" s="644"/>
      <c r="I82" s="488">
        <f t="shared" ref="I82:I84" si="2">ROUND(H82*G82,2)</f>
        <v>0</v>
      </c>
      <c r="J82" s="489"/>
      <c r="L82" s="442"/>
    </row>
    <row r="83" spans="1:18" x14ac:dyDescent="0.25">
      <c r="B83" s="484"/>
      <c r="C83" s="491" t="s">
        <v>417</v>
      </c>
      <c r="D83" s="486" t="s">
        <v>205</v>
      </c>
      <c r="E83" s="487"/>
      <c r="F83" s="487"/>
      <c r="G83" s="487">
        <f>G82</f>
        <v>1.2</v>
      </c>
      <c r="H83" s="644"/>
      <c r="I83" s="488">
        <f t="shared" si="2"/>
        <v>0</v>
      </c>
      <c r="J83" s="489"/>
    </row>
    <row r="84" spans="1:18" x14ac:dyDescent="0.25">
      <c r="B84" s="484"/>
      <c r="C84" s="485" t="s">
        <v>418</v>
      </c>
      <c r="D84" s="486" t="s">
        <v>378</v>
      </c>
      <c r="E84" s="487"/>
      <c r="F84" s="487"/>
      <c r="G84" s="487">
        <v>20</v>
      </c>
      <c r="H84" s="644"/>
      <c r="I84" s="488">
        <f t="shared" si="2"/>
        <v>0</v>
      </c>
      <c r="J84" s="489"/>
    </row>
    <row r="85" spans="1:18" x14ac:dyDescent="0.25">
      <c r="B85" s="484"/>
      <c r="C85" s="492"/>
      <c r="D85" s="486"/>
      <c r="E85" s="487"/>
      <c r="F85" s="487"/>
      <c r="G85" s="487"/>
      <c r="H85" s="644"/>
      <c r="I85" s="488"/>
      <c r="J85" s="489"/>
    </row>
    <row r="86" spans="1:18" x14ac:dyDescent="0.25">
      <c r="A86" s="401" t="s">
        <v>419</v>
      </c>
      <c r="B86" s="473">
        <f>+B80+0.0001</f>
        <v>1.0406</v>
      </c>
      <c r="C86" s="501" t="s">
        <v>285</v>
      </c>
      <c r="D86" s="475"/>
      <c r="E86" s="476"/>
      <c r="F86" s="476"/>
      <c r="G86" s="476"/>
      <c r="H86" s="645"/>
      <c r="I86" s="477"/>
      <c r="J86" s="472">
        <f>+J87</f>
        <v>0</v>
      </c>
    </row>
    <row r="87" spans="1:18" ht="31.2" customHeight="1" x14ac:dyDescent="0.25">
      <c r="B87" s="478"/>
      <c r="C87" s="479" t="s">
        <v>420</v>
      </c>
      <c r="D87" s="480" t="s">
        <v>363</v>
      </c>
      <c r="E87" s="481">
        <v>1</v>
      </c>
      <c r="F87" s="481"/>
      <c r="G87" s="481"/>
      <c r="H87" s="645"/>
      <c r="I87" s="482">
        <f>+SUM(I88:I91)</f>
        <v>0</v>
      </c>
      <c r="J87" s="483">
        <f>ROUND(PRODUCT(E87:I87),2)</f>
        <v>0</v>
      </c>
    </row>
    <row r="88" spans="1:18" ht="27.6" x14ac:dyDescent="0.25">
      <c r="B88" s="484"/>
      <c r="C88" s="491" t="s">
        <v>421</v>
      </c>
      <c r="D88" s="486" t="s">
        <v>7</v>
      </c>
      <c r="E88" s="487"/>
      <c r="F88" s="487"/>
      <c r="G88" s="487">
        <v>10</v>
      </c>
      <c r="H88" s="644"/>
      <c r="I88" s="488">
        <f t="shared" ref="I88:I91" si="3">ROUND(H88*G88,2)</f>
        <v>0</v>
      </c>
      <c r="J88" s="489"/>
      <c r="L88" s="435"/>
    </row>
    <row r="89" spans="1:18" x14ac:dyDescent="0.25">
      <c r="B89" s="484"/>
      <c r="C89" s="491" t="s">
        <v>422</v>
      </c>
      <c r="D89" s="486" t="s">
        <v>8</v>
      </c>
      <c r="E89" s="487"/>
      <c r="F89" s="487"/>
      <c r="G89" s="487">
        <v>4</v>
      </c>
      <c r="H89" s="644"/>
      <c r="I89" s="488">
        <f t="shared" si="3"/>
        <v>0</v>
      </c>
      <c r="J89" s="489"/>
      <c r="L89" s="435"/>
    </row>
    <row r="90" spans="1:18" x14ac:dyDescent="0.25">
      <c r="B90" s="484"/>
      <c r="C90" s="491" t="s">
        <v>423</v>
      </c>
      <c r="D90" s="486" t="s">
        <v>18</v>
      </c>
      <c r="E90" s="487"/>
      <c r="F90" s="487"/>
      <c r="G90" s="487">
        <v>4</v>
      </c>
      <c r="H90" s="644"/>
      <c r="I90" s="488">
        <f t="shared" si="3"/>
        <v>0</v>
      </c>
      <c r="J90" s="489"/>
      <c r="L90" s="435"/>
    </row>
    <row r="91" spans="1:18" x14ac:dyDescent="0.25">
      <c r="B91" s="484"/>
      <c r="C91" s="491" t="s">
        <v>424</v>
      </c>
      <c r="D91" s="486" t="s">
        <v>18</v>
      </c>
      <c r="E91" s="487"/>
      <c r="F91" s="487"/>
      <c r="G91" s="487">
        <v>4</v>
      </c>
      <c r="H91" s="644"/>
      <c r="I91" s="488">
        <f t="shared" si="3"/>
        <v>0</v>
      </c>
      <c r="J91" s="489"/>
      <c r="L91" s="435"/>
    </row>
    <row r="92" spans="1:18" x14ac:dyDescent="0.25">
      <c r="B92" s="484"/>
      <c r="C92" s="493"/>
      <c r="D92" s="486"/>
      <c r="E92" s="487"/>
      <c r="F92" s="487"/>
      <c r="G92" s="487"/>
      <c r="H92" s="644"/>
      <c r="I92" s="488"/>
      <c r="J92" s="489"/>
      <c r="L92" s="435"/>
    </row>
    <row r="93" spans="1:18" x14ac:dyDescent="0.25">
      <c r="A93" s="401" t="s">
        <v>425</v>
      </c>
      <c r="B93" s="473">
        <f>+B86+0.0001</f>
        <v>1.0407</v>
      </c>
      <c r="C93" s="468" t="s">
        <v>286</v>
      </c>
      <c r="D93" s="475"/>
      <c r="E93" s="476"/>
      <c r="F93" s="476"/>
      <c r="G93" s="476"/>
      <c r="H93" s="645"/>
      <c r="I93" s="477"/>
      <c r="J93" s="472">
        <f>+J94+J100</f>
        <v>0</v>
      </c>
      <c r="L93" s="435"/>
    </row>
    <row r="94" spans="1:18" ht="43.95" customHeight="1" x14ac:dyDescent="0.25">
      <c r="B94" s="478"/>
      <c r="C94" s="479" t="s">
        <v>426</v>
      </c>
      <c r="D94" s="480" t="s">
        <v>363</v>
      </c>
      <c r="E94" s="481">
        <v>1</v>
      </c>
      <c r="F94" s="481"/>
      <c r="G94" s="481"/>
      <c r="H94" s="645"/>
      <c r="I94" s="482">
        <f>+SUM(I95:I98)</f>
        <v>0</v>
      </c>
      <c r="J94" s="483">
        <f>+PRODUCT(E94:I94)</f>
        <v>0</v>
      </c>
      <c r="L94" s="435"/>
      <c r="P94" s="443" t="s">
        <v>427</v>
      </c>
    </row>
    <row r="95" spans="1:18" ht="19.95" customHeight="1" x14ac:dyDescent="0.25">
      <c r="B95" s="484"/>
      <c r="C95" s="491" t="s">
        <v>428</v>
      </c>
      <c r="D95" s="486" t="s">
        <v>18</v>
      </c>
      <c r="E95" s="487"/>
      <c r="F95" s="487"/>
      <c r="G95" s="487">
        <f>+'Etapa obra OBRA'!F45</f>
        <v>174</v>
      </c>
      <c r="H95" s="644"/>
      <c r="I95" s="488">
        <f t="shared" ref="I95:I98" si="4">ROUND(H95*G95,2)</f>
        <v>0</v>
      </c>
      <c r="J95" s="489"/>
      <c r="L95" s="437" t="s">
        <v>429</v>
      </c>
      <c r="M95" s="401" t="s">
        <v>396</v>
      </c>
      <c r="N95" s="443" t="s">
        <v>430</v>
      </c>
      <c r="O95" s="443">
        <v>0.76</v>
      </c>
      <c r="P95" s="443">
        <f>0.76*50</f>
        <v>38</v>
      </c>
      <c r="Q95" s="443" t="s">
        <v>431</v>
      </c>
      <c r="R95" s="443"/>
    </row>
    <row r="96" spans="1:18" ht="19.95" customHeight="1" x14ac:dyDescent="0.25">
      <c r="B96" s="484"/>
      <c r="C96" s="494" t="s">
        <v>432</v>
      </c>
      <c r="D96" s="495" t="s">
        <v>18</v>
      </c>
      <c r="E96" s="487"/>
      <c r="F96" s="487"/>
      <c r="G96" s="487">
        <f>+'Etapa obra OBRA'!G45</f>
        <v>120</v>
      </c>
      <c r="H96" s="644"/>
      <c r="I96" s="488">
        <f t="shared" si="4"/>
        <v>0</v>
      </c>
      <c r="J96" s="489"/>
      <c r="L96" s="437" t="s">
        <v>433</v>
      </c>
    </row>
    <row r="97" spans="1:19" ht="19.95" customHeight="1" x14ac:dyDescent="0.25">
      <c r="B97" s="484"/>
      <c r="C97" s="491" t="s">
        <v>434</v>
      </c>
      <c r="D97" s="486" t="s">
        <v>18</v>
      </c>
      <c r="E97" s="487"/>
      <c r="F97" s="487"/>
      <c r="G97" s="487">
        <f>+'Etapa obra OBRA'!I45</f>
        <v>69</v>
      </c>
      <c r="H97" s="644"/>
      <c r="I97" s="488">
        <f t="shared" si="4"/>
        <v>0</v>
      </c>
      <c r="J97" s="489"/>
      <c r="L97" s="437" t="s">
        <v>435</v>
      </c>
    </row>
    <row r="98" spans="1:19" ht="19.95" customHeight="1" x14ac:dyDescent="0.25">
      <c r="B98" s="484"/>
      <c r="C98" s="491" t="s">
        <v>436</v>
      </c>
      <c r="D98" s="486" t="s">
        <v>18</v>
      </c>
      <c r="E98" s="487"/>
      <c r="F98" s="487"/>
      <c r="G98" s="487">
        <f>+'Etapa obra OBRA'!J45</f>
        <v>225</v>
      </c>
      <c r="H98" s="644"/>
      <c r="I98" s="488">
        <f t="shared" si="4"/>
        <v>0</v>
      </c>
      <c r="J98" s="489"/>
      <c r="L98" s="437" t="s">
        <v>437</v>
      </c>
      <c r="M98" s="401" t="s">
        <v>438</v>
      </c>
    </row>
    <row r="99" spans="1:19" x14ac:dyDescent="0.25">
      <c r="B99" s="484"/>
      <c r="C99" s="491"/>
      <c r="D99" s="486"/>
      <c r="E99" s="487"/>
      <c r="F99" s="487"/>
      <c r="G99" s="487"/>
      <c r="H99" s="644"/>
      <c r="I99" s="488"/>
      <c r="J99" s="489"/>
      <c r="L99" s="435"/>
    </row>
    <row r="100" spans="1:19" ht="39.6" customHeight="1" x14ac:dyDescent="0.25">
      <c r="B100" s="478"/>
      <c r="C100" s="479" t="s">
        <v>439</v>
      </c>
      <c r="D100" s="480" t="s">
        <v>363</v>
      </c>
      <c r="E100" s="481">
        <v>1</v>
      </c>
      <c r="F100" s="481"/>
      <c r="G100" s="481"/>
      <c r="H100" s="645"/>
      <c r="I100" s="482">
        <f>+SUM(I101:I107)</f>
        <v>0</v>
      </c>
      <c r="J100" s="483">
        <f>+PRODUCT(E100:I100)</f>
        <v>0</v>
      </c>
      <c r="L100" s="435"/>
    </row>
    <row r="101" spans="1:19" ht="19.95" customHeight="1" x14ac:dyDescent="0.25">
      <c r="B101" s="484"/>
      <c r="C101" s="494" t="s">
        <v>440</v>
      </c>
      <c r="D101" s="486" t="s">
        <v>18</v>
      </c>
      <c r="E101" s="487"/>
      <c r="F101" s="487"/>
      <c r="G101" s="487">
        <f>+'Etapa obra OBRA'!H46</f>
        <v>10</v>
      </c>
      <c r="H101" s="644"/>
      <c r="I101" s="488">
        <f t="shared" ref="I101:I107" si="5">ROUND(H101*G101,2)</f>
        <v>0</v>
      </c>
      <c r="J101" s="489"/>
      <c r="L101" s="437" t="s">
        <v>441</v>
      </c>
      <c r="N101" s="401" t="s">
        <v>430</v>
      </c>
      <c r="O101" s="401">
        <v>4.9000000000000004</v>
      </c>
      <c r="P101" s="401">
        <f>4.9*50</f>
        <v>245.00000000000003</v>
      </c>
    </row>
    <row r="102" spans="1:19" ht="27.6" x14ac:dyDescent="0.25">
      <c r="B102" s="484"/>
      <c r="C102" s="494" t="s">
        <v>442</v>
      </c>
      <c r="D102" s="486" t="s">
        <v>18</v>
      </c>
      <c r="E102" s="496"/>
      <c r="F102" s="497"/>
      <c r="G102" s="497">
        <f>+'Etapa obra OBRA'!G46</f>
        <v>14</v>
      </c>
      <c r="H102" s="648"/>
      <c r="I102" s="488">
        <f t="shared" si="5"/>
        <v>0</v>
      </c>
      <c r="J102" s="489"/>
      <c r="L102" s="435"/>
    </row>
    <row r="103" spans="1:19" ht="19.95" customHeight="1" x14ac:dyDescent="0.25">
      <c r="B103" s="484"/>
      <c r="C103" s="494" t="s">
        <v>434</v>
      </c>
      <c r="D103" s="486" t="s">
        <v>18</v>
      </c>
      <c r="E103" s="487"/>
      <c r="F103" s="487"/>
      <c r="G103" s="487">
        <f>+'Etapa obra OBRA'!I46</f>
        <v>8</v>
      </c>
      <c r="H103" s="644"/>
      <c r="I103" s="488">
        <f t="shared" si="5"/>
        <v>0</v>
      </c>
      <c r="J103" s="489"/>
      <c r="L103" s="435"/>
      <c r="N103" s="444" t="s">
        <v>443</v>
      </c>
      <c r="O103" s="443"/>
      <c r="P103" s="443" t="s">
        <v>444</v>
      </c>
      <c r="Q103" s="443"/>
      <c r="R103" s="443"/>
      <c r="S103" s="443"/>
    </row>
    <row r="104" spans="1:19" ht="19.95" customHeight="1" x14ac:dyDescent="0.25">
      <c r="B104" s="484"/>
      <c r="C104" s="494" t="s">
        <v>436</v>
      </c>
      <c r="D104" s="486" t="s">
        <v>18</v>
      </c>
      <c r="E104" s="487"/>
      <c r="F104" s="487"/>
      <c r="G104" s="487">
        <f>+'Etapa obra OBRA'!J46</f>
        <v>13</v>
      </c>
      <c r="H104" s="644"/>
      <c r="I104" s="488">
        <f t="shared" si="5"/>
        <v>0</v>
      </c>
      <c r="J104" s="489"/>
      <c r="L104" s="435"/>
      <c r="N104" s="445">
        <f>55/50</f>
        <v>1.1000000000000001</v>
      </c>
      <c r="O104" s="445"/>
      <c r="P104" s="443" t="s">
        <v>445</v>
      </c>
      <c r="Q104" s="443"/>
      <c r="R104" s="443"/>
      <c r="S104" s="443"/>
    </row>
    <row r="105" spans="1:19" ht="19.95" customHeight="1" x14ac:dyDescent="0.25">
      <c r="B105" s="484"/>
      <c r="C105" s="494" t="s">
        <v>446</v>
      </c>
      <c r="D105" s="486" t="s">
        <v>18</v>
      </c>
      <c r="E105" s="487"/>
      <c r="F105" s="487"/>
      <c r="G105" s="487">
        <f>+'Etapa obra OBRA'!K46</f>
        <v>500</v>
      </c>
      <c r="H105" s="644"/>
      <c r="I105" s="488">
        <f t="shared" si="5"/>
        <v>0</v>
      </c>
      <c r="J105" s="489"/>
      <c r="L105" s="437" t="s">
        <v>447</v>
      </c>
      <c r="M105" s="401" t="s">
        <v>396</v>
      </c>
      <c r="N105" s="443">
        <f>53/50</f>
        <v>1.06</v>
      </c>
      <c r="O105" s="445"/>
      <c r="P105" s="443" t="s">
        <v>448</v>
      </c>
      <c r="Q105" s="443"/>
      <c r="R105" s="443"/>
      <c r="S105" s="443"/>
    </row>
    <row r="106" spans="1:19" ht="19.95" customHeight="1" x14ac:dyDescent="0.25">
      <c r="B106" s="484"/>
      <c r="C106" s="494" t="s">
        <v>449</v>
      </c>
      <c r="D106" s="486" t="s">
        <v>18</v>
      </c>
      <c r="E106" s="487"/>
      <c r="F106" s="487"/>
      <c r="G106" s="487">
        <f>+'Etapa obra OBRA'!L46</f>
        <v>120</v>
      </c>
      <c r="H106" s="644"/>
      <c r="I106" s="488">
        <f t="shared" si="5"/>
        <v>0</v>
      </c>
      <c r="J106" s="489"/>
      <c r="L106" s="435"/>
    </row>
    <row r="107" spans="1:19" ht="19.95" customHeight="1" x14ac:dyDescent="0.25">
      <c r="B107" s="484"/>
      <c r="C107" s="494" t="s">
        <v>450</v>
      </c>
      <c r="D107" s="486" t="s">
        <v>18</v>
      </c>
      <c r="E107" s="487"/>
      <c r="F107" s="487"/>
      <c r="G107" s="487">
        <f>+'Etapa obra OBRA'!M46</f>
        <v>80</v>
      </c>
      <c r="H107" s="644"/>
      <c r="I107" s="488">
        <f t="shared" si="5"/>
        <v>0</v>
      </c>
      <c r="J107" s="489"/>
      <c r="L107" s="446" t="s">
        <v>451</v>
      </c>
      <c r="M107" s="401" t="s">
        <v>396</v>
      </c>
    </row>
    <row r="108" spans="1:19" x14ac:dyDescent="0.25">
      <c r="B108" s="484"/>
      <c r="C108" s="498"/>
      <c r="D108" s="486"/>
      <c r="E108" s="487"/>
      <c r="F108" s="487"/>
      <c r="G108" s="487"/>
      <c r="H108" s="644"/>
      <c r="I108" s="488"/>
      <c r="J108" s="489"/>
      <c r="L108" s="435"/>
    </row>
    <row r="109" spans="1:19" ht="35.25" customHeight="1" x14ac:dyDescent="0.25">
      <c r="A109" s="401" t="s">
        <v>452</v>
      </c>
      <c r="B109" s="473">
        <f>+B93+0.0001</f>
        <v>1.0407999999999999</v>
      </c>
      <c r="C109" s="468" t="s">
        <v>287</v>
      </c>
      <c r="D109" s="475"/>
      <c r="E109" s="476"/>
      <c r="F109" s="476"/>
      <c r="G109" s="476"/>
      <c r="H109" s="645"/>
      <c r="I109" s="477"/>
      <c r="J109" s="472">
        <f>+J110+J114</f>
        <v>0</v>
      </c>
    </row>
    <row r="110" spans="1:19" ht="27.6" x14ac:dyDescent="0.25">
      <c r="B110" s="478"/>
      <c r="C110" s="479" t="s">
        <v>453</v>
      </c>
      <c r="D110" s="480" t="s">
        <v>7</v>
      </c>
      <c r="E110" s="481">
        <v>10</v>
      </c>
      <c r="F110" s="481"/>
      <c r="G110" s="481"/>
      <c r="H110" s="645"/>
      <c r="I110" s="482">
        <f>+SUM(I111:I113)</f>
        <v>0</v>
      </c>
      <c r="J110" s="483">
        <f>+E110*I110</f>
        <v>0</v>
      </c>
      <c r="L110" s="435"/>
    </row>
    <row r="111" spans="1:19" ht="23.4" customHeight="1" x14ac:dyDescent="0.25">
      <c r="B111" s="484"/>
      <c r="C111" s="491" t="s">
        <v>454</v>
      </c>
      <c r="D111" s="499" t="s">
        <v>455</v>
      </c>
      <c r="E111" s="487"/>
      <c r="F111" s="487"/>
      <c r="G111" s="487"/>
      <c r="H111" s="644"/>
      <c r="I111" s="488"/>
      <c r="J111" s="489"/>
    </row>
    <row r="112" spans="1:19" ht="26.4" customHeight="1" x14ac:dyDescent="0.25">
      <c r="B112" s="484"/>
      <c r="C112" s="491" t="s">
        <v>456</v>
      </c>
      <c r="D112" s="499" t="s">
        <v>455</v>
      </c>
      <c r="E112" s="487"/>
      <c r="F112" s="487"/>
      <c r="G112" s="487"/>
      <c r="H112" s="644"/>
      <c r="I112" s="488"/>
      <c r="J112" s="489"/>
    </row>
    <row r="113" spans="2:12" ht="30.6" customHeight="1" x14ac:dyDescent="0.25">
      <c r="B113" s="484"/>
      <c r="C113" s="491" t="s">
        <v>457</v>
      </c>
      <c r="D113" s="486" t="s">
        <v>7</v>
      </c>
      <c r="E113" s="487"/>
      <c r="F113" s="487">
        <v>1</v>
      </c>
      <c r="G113" s="487">
        <v>1</v>
      </c>
      <c r="H113" s="644"/>
      <c r="I113" s="488">
        <f>ROUND(G113*H113*F113,2)</f>
        <v>0</v>
      </c>
      <c r="J113" s="489"/>
    </row>
    <row r="114" spans="2:12" ht="27.6" customHeight="1" x14ac:dyDescent="0.25">
      <c r="B114" s="478"/>
      <c r="C114" s="479" t="s">
        <v>458</v>
      </c>
      <c r="D114" s="480" t="s">
        <v>205</v>
      </c>
      <c r="E114" s="481">
        <v>1</v>
      </c>
      <c r="F114" s="481"/>
      <c r="G114" s="481"/>
      <c r="H114" s="645"/>
      <c r="I114" s="482">
        <f>+I115</f>
        <v>0</v>
      </c>
      <c r="J114" s="483">
        <f>+E114*I114</f>
        <v>0</v>
      </c>
    </row>
    <row r="115" spans="2:12" ht="19.95" customHeight="1" x14ac:dyDescent="0.25">
      <c r="B115" s="484"/>
      <c r="C115" s="491" t="s">
        <v>459</v>
      </c>
      <c r="D115" s="486" t="s">
        <v>378</v>
      </c>
      <c r="E115" s="487"/>
      <c r="F115" s="487"/>
      <c r="G115" s="487">
        <f>ROUNDUP(Numtrabtotal*0.25,0)*1+ROUNDUP(PlazoMes/2,0)*D10</f>
        <v>11</v>
      </c>
      <c r="H115" s="644"/>
      <c r="I115" s="488">
        <f>ROUND(G115*H115,2)</f>
        <v>0</v>
      </c>
      <c r="J115" s="489"/>
      <c r="L115" s="437" t="s">
        <v>460</v>
      </c>
    </row>
    <row r="116" spans="2:12" x14ac:dyDescent="0.25">
      <c r="B116" s="434"/>
      <c r="C116" s="447"/>
      <c r="D116" s="448"/>
      <c r="E116" s="449"/>
      <c r="F116" s="449"/>
      <c r="G116" s="449"/>
      <c r="H116" s="649"/>
      <c r="I116" s="450"/>
      <c r="J116" s="432"/>
    </row>
    <row r="117" spans="2:12" ht="22.95" customHeight="1" x14ac:dyDescent="0.25">
      <c r="B117" s="467"/>
      <c r="C117" s="468" t="s">
        <v>461</v>
      </c>
      <c r="D117" s="469"/>
      <c r="E117" s="470"/>
      <c r="F117" s="470"/>
      <c r="G117" s="470"/>
      <c r="H117" s="471"/>
      <c r="I117" s="471"/>
      <c r="J117" s="472">
        <f>+J47+J52+J58+J64+J80+J86+J93+J109</f>
        <v>0</v>
      </c>
      <c r="K117" s="451"/>
    </row>
    <row r="118" spans="2:12" ht="15" thickBot="1" x14ac:dyDescent="0.3">
      <c r="B118" s="452"/>
      <c r="C118" s="453"/>
      <c r="D118" s="454"/>
      <c r="E118" s="455"/>
      <c r="F118" s="455"/>
      <c r="G118" s="455"/>
      <c r="H118" s="456"/>
      <c r="I118" s="456"/>
      <c r="J118" s="457"/>
    </row>
    <row r="119" spans="2:12" x14ac:dyDescent="0.25">
      <c r="B119" s="458"/>
      <c r="C119" s="458"/>
      <c r="D119" s="459"/>
      <c r="E119" s="460"/>
      <c r="F119" s="460"/>
      <c r="G119" s="460"/>
      <c r="H119" s="461"/>
      <c r="I119" s="462"/>
      <c r="J119" s="463"/>
      <c r="K119" s="464"/>
    </row>
    <row r="120" spans="2:12" x14ac:dyDescent="0.25">
      <c r="B120" s="458"/>
      <c r="C120" s="458"/>
      <c r="D120" s="460"/>
      <c r="E120" s="460"/>
      <c r="F120" s="460"/>
      <c r="G120" s="460"/>
      <c r="H120" s="462"/>
    </row>
    <row r="121" spans="2:12" x14ac:dyDescent="0.25">
      <c r="B121" s="458"/>
      <c r="C121" s="458"/>
      <c r="D121" s="460"/>
      <c r="E121" s="460"/>
      <c r="F121" s="460"/>
      <c r="G121" s="460"/>
      <c r="H121" s="462"/>
      <c r="J121" s="465"/>
    </row>
    <row r="124" spans="2:12" x14ac:dyDescent="0.25">
      <c r="C124" s="466"/>
    </row>
    <row r="125" spans="2:12" x14ac:dyDescent="0.25">
      <c r="C125" s="466"/>
    </row>
  </sheetData>
  <mergeCells count="2">
    <mergeCell ref="B43:J43"/>
    <mergeCell ref="B44:C44"/>
  </mergeCells>
  <hyperlinks>
    <hyperlink ref="O55" r:id="rId1" display="http://www.exitmaxsac.com/"/>
  </hyperlinks>
  <pageMargins left="0.70866141732283472" right="0.70866141732283472" top="0.74803149606299213" bottom="0.74803149606299213" header="0.31496062992125984" footer="0.31496062992125984"/>
  <pageSetup scale="70" orientation="landscape" r:id="rId2"/>
  <rowBreaks count="3" manualBreakCount="3">
    <brk id="72" max="10" man="1"/>
    <brk id="85" max="10" man="1"/>
    <brk id="9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25"/>
  <sheetViews>
    <sheetView topLeftCell="A41" zoomScale="87" zoomScaleNormal="87" workbookViewId="0">
      <selection activeCell="AE44" sqref="AE44"/>
    </sheetView>
  </sheetViews>
  <sheetFormatPr baseColWidth="10" defaultColWidth="11.44140625" defaultRowHeight="14.4" x14ac:dyDescent="0.25"/>
  <cols>
    <col min="1" max="1" width="1.6640625" style="401" customWidth="1"/>
    <col min="2" max="2" width="13.33203125" style="401" customWidth="1"/>
    <col min="3" max="3" width="81" style="401" customWidth="1"/>
    <col min="4" max="4" width="11.33203125" style="402" customWidth="1"/>
    <col min="5" max="5" width="9.88671875" style="402" customWidth="1"/>
    <col min="6" max="6" width="13.6640625" style="402" customWidth="1"/>
    <col min="7" max="7" width="9.109375" style="402" customWidth="1"/>
    <col min="8" max="8" width="10.109375" style="403" customWidth="1"/>
    <col min="9" max="9" width="14.109375" style="403" bestFit="1" customWidth="1"/>
    <col min="10" max="10" width="12.33203125" style="403" customWidth="1"/>
    <col min="11" max="11" width="1.6640625" style="401" customWidth="1"/>
    <col min="12" max="12" width="13.33203125" style="401" hidden="1" customWidth="1"/>
    <col min="13" max="13" width="13.6640625" style="401" hidden="1" customWidth="1"/>
    <col min="14" max="23" width="11.44140625" style="401" hidden="1" customWidth="1"/>
    <col min="24" max="25" width="0" style="401" hidden="1" customWidth="1"/>
    <col min="26" max="16384" width="11.44140625" style="401"/>
  </cols>
  <sheetData>
    <row r="1" spans="3:9" hidden="1" x14ac:dyDescent="0.25"/>
    <row r="2" spans="3:9" hidden="1" x14ac:dyDescent="0.25"/>
    <row r="3" spans="3:9" hidden="1" x14ac:dyDescent="0.25">
      <c r="D3" s="402" t="s">
        <v>323</v>
      </c>
      <c r="E3" s="402" t="s">
        <v>324</v>
      </c>
    </row>
    <row r="4" spans="3:9" hidden="1" x14ac:dyDescent="0.25">
      <c r="C4" s="401" t="s">
        <v>325</v>
      </c>
      <c r="D4" s="404">
        <v>10666.67</v>
      </c>
      <c r="E4" s="405">
        <f>ROUND(D4/24,2)</f>
        <v>444.44</v>
      </c>
    </row>
    <row r="5" spans="3:9" hidden="1" x14ac:dyDescent="0.25">
      <c r="C5" s="401" t="s">
        <v>326</v>
      </c>
      <c r="D5" s="404">
        <v>4666.67</v>
      </c>
      <c r="E5" s="405">
        <f>ROUND(D5/24,2)</f>
        <v>194.44</v>
      </c>
    </row>
    <row r="6" spans="3:9" hidden="1" x14ac:dyDescent="0.25">
      <c r="C6" s="401" t="s">
        <v>327</v>
      </c>
      <c r="D6" s="404">
        <v>10407</v>
      </c>
      <c r="E6" s="405">
        <f>ROUND(D6/24,2)</f>
        <v>433.63</v>
      </c>
    </row>
    <row r="7" spans="3:9" hidden="1" x14ac:dyDescent="0.25">
      <c r="C7" s="401" t="s">
        <v>328</v>
      </c>
      <c r="D7" s="404"/>
      <c r="E7" s="405"/>
    </row>
    <row r="8" spans="3:9" hidden="1" x14ac:dyDescent="0.25">
      <c r="C8" s="401" t="s">
        <v>329</v>
      </c>
      <c r="D8" s="404"/>
    </row>
    <row r="9" spans="3:9" hidden="1" x14ac:dyDescent="0.25">
      <c r="C9" s="406"/>
      <c r="D9" s="407"/>
      <c r="I9" s="403" t="s">
        <v>330</v>
      </c>
    </row>
    <row r="10" spans="3:9" hidden="1" x14ac:dyDescent="0.25">
      <c r="C10" s="406"/>
      <c r="D10" s="407">
        <v>1</v>
      </c>
      <c r="E10" s="402" t="s">
        <v>331</v>
      </c>
    </row>
    <row r="11" spans="3:9" hidden="1" x14ac:dyDescent="0.25">
      <c r="C11" s="406"/>
      <c r="D11" s="407"/>
    </row>
    <row r="12" spans="3:9" ht="31.5" hidden="1" customHeight="1" x14ac:dyDescent="0.25">
      <c r="C12" s="408"/>
      <c r="D12" s="407"/>
    </row>
    <row r="13" spans="3:9" hidden="1" x14ac:dyDescent="0.25">
      <c r="C13" s="409" t="s">
        <v>332</v>
      </c>
      <c r="D13" s="410">
        <f>+'Etapa obra PRUEBAS'!C27</f>
        <v>8</v>
      </c>
      <c r="F13" s="402" t="s">
        <v>333</v>
      </c>
    </row>
    <row r="14" spans="3:9" hidden="1" x14ac:dyDescent="0.25">
      <c r="C14" s="401" t="s">
        <v>334</v>
      </c>
      <c r="F14" s="402" t="s">
        <v>322</v>
      </c>
    </row>
    <row r="15" spans="3:9" hidden="1" x14ac:dyDescent="0.25">
      <c r="C15" s="401" t="s">
        <v>335</v>
      </c>
      <c r="D15" s="402">
        <v>2</v>
      </c>
    </row>
    <row r="16" spans="3:9" hidden="1" x14ac:dyDescent="0.25">
      <c r="C16" s="401" t="s">
        <v>336</v>
      </c>
      <c r="D16" s="402">
        <f>PlazoMes*25</f>
        <v>50</v>
      </c>
    </row>
    <row r="17" spans="3:7" hidden="1" x14ac:dyDescent="0.25">
      <c r="C17" s="401" t="s">
        <v>337</v>
      </c>
      <c r="D17" s="402">
        <v>1</v>
      </c>
      <c r="F17" s="402">
        <v>100</v>
      </c>
      <c r="G17" s="402" t="s">
        <v>338</v>
      </c>
    </row>
    <row r="18" spans="3:7" hidden="1" x14ac:dyDescent="0.25">
      <c r="C18" s="401" t="s">
        <v>339</v>
      </c>
    </row>
    <row r="19" spans="3:7" hidden="1" x14ac:dyDescent="0.25"/>
    <row r="20" spans="3:7" hidden="1" x14ac:dyDescent="0.25">
      <c r="C20" s="401" t="s">
        <v>340</v>
      </c>
      <c r="E20" s="402" t="s">
        <v>338</v>
      </c>
    </row>
    <row r="21" spans="3:7" hidden="1" x14ac:dyDescent="0.25">
      <c r="C21" s="401" t="s">
        <v>341</v>
      </c>
    </row>
    <row r="22" spans="3:7" hidden="1" x14ac:dyDescent="0.25">
      <c r="C22" s="401" t="s">
        <v>342</v>
      </c>
    </row>
    <row r="23" spans="3:7" hidden="1" x14ac:dyDescent="0.25">
      <c r="C23" s="401" t="s">
        <v>343</v>
      </c>
    </row>
    <row r="24" spans="3:7" hidden="1" x14ac:dyDescent="0.25">
      <c r="C24" s="401" t="s">
        <v>344</v>
      </c>
    </row>
    <row r="25" spans="3:7" ht="17.25" hidden="1" customHeight="1" x14ac:dyDescent="0.25">
      <c r="C25" s="401" t="s">
        <v>462</v>
      </c>
      <c r="D25" s="402">
        <v>100</v>
      </c>
      <c r="E25" s="402" t="s">
        <v>338</v>
      </c>
    </row>
    <row r="26" spans="3:7" hidden="1" x14ac:dyDescent="0.25"/>
    <row r="27" spans="3:7" hidden="1" x14ac:dyDescent="0.25">
      <c r="C27" s="401" t="s">
        <v>345</v>
      </c>
      <c r="D27" s="402">
        <f>1.8*D29</f>
        <v>3.6</v>
      </c>
      <c r="E27" s="402" t="s">
        <v>338</v>
      </c>
    </row>
    <row r="28" spans="3:7" hidden="1" x14ac:dyDescent="0.25"/>
    <row r="29" spans="3:7" hidden="1" x14ac:dyDescent="0.25">
      <c r="C29" s="401" t="s">
        <v>346</v>
      </c>
      <c r="D29" s="402">
        <v>2</v>
      </c>
    </row>
    <row r="30" spans="3:7" hidden="1" x14ac:dyDescent="0.25"/>
    <row r="31" spans="3:7" hidden="1" x14ac:dyDescent="0.25"/>
    <row r="32" spans="3:7" hidden="1" x14ac:dyDescent="0.25"/>
    <row r="33" spans="2:13" hidden="1" x14ac:dyDescent="0.25">
      <c r="C33" s="401" t="s">
        <v>347</v>
      </c>
      <c r="D33" s="402">
        <f>50/66</f>
        <v>0.75757575757575757</v>
      </c>
      <c r="E33" s="402" t="s">
        <v>348</v>
      </c>
    </row>
    <row r="34" spans="2:13" hidden="1" x14ac:dyDescent="0.25">
      <c r="C34" s="401" t="s">
        <v>349</v>
      </c>
      <c r="D34" s="402">
        <f>D33*3</f>
        <v>2.2727272727272725</v>
      </c>
    </row>
    <row r="35" spans="2:13" hidden="1" x14ac:dyDescent="0.25">
      <c r="C35" s="401" t="s">
        <v>350</v>
      </c>
      <c r="D35" s="402">
        <f>D34*2</f>
        <v>4.545454545454545</v>
      </c>
    </row>
    <row r="36" spans="2:13" hidden="1" x14ac:dyDescent="0.25">
      <c r="C36" s="401" t="s">
        <v>351</v>
      </c>
      <c r="D36" s="402">
        <v>5</v>
      </c>
      <c r="E36" s="402" t="s">
        <v>348</v>
      </c>
    </row>
    <row r="37" spans="2:13" hidden="1" x14ac:dyDescent="0.25">
      <c r="C37" s="401" t="s">
        <v>352</v>
      </c>
      <c r="D37" s="402">
        <v>4</v>
      </c>
      <c r="E37" s="402" t="s">
        <v>348</v>
      </c>
    </row>
    <row r="38" spans="2:13" hidden="1" x14ac:dyDescent="0.25"/>
    <row r="39" spans="2:13" hidden="1" x14ac:dyDescent="0.25">
      <c r="C39" s="401" t="s">
        <v>353</v>
      </c>
      <c r="D39" s="402">
        <v>0.216</v>
      </c>
    </row>
    <row r="40" spans="2:13" hidden="1" x14ac:dyDescent="0.25">
      <c r="C40" s="401" t="s">
        <v>354</v>
      </c>
      <c r="D40" s="402">
        <f>D39*8</f>
        <v>1.728</v>
      </c>
    </row>
    <row r="42" spans="2:13" ht="15" thickBot="1" x14ac:dyDescent="0.3"/>
    <row r="43" spans="2:13" ht="24.75" customHeight="1" thickBot="1" x14ac:dyDescent="0.3">
      <c r="B43" s="740" t="s">
        <v>541</v>
      </c>
      <c r="C43" s="741"/>
      <c r="D43" s="741"/>
      <c r="E43" s="741"/>
      <c r="F43" s="741"/>
      <c r="G43" s="741"/>
      <c r="H43" s="741"/>
      <c r="I43" s="741"/>
      <c r="J43" s="742"/>
      <c r="M43" s="401" t="s">
        <v>356</v>
      </c>
    </row>
    <row r="44" spans="2:13" ht="52.5" customHeight="1" thickBot="1" x14ac:dyDescent="0.3">
      <c r="B44" s="743" t="s">
        <v>106</v>
      </c>
      <c r="C44" s="744"/>
      <c r="D44" s="411" t="s">
        <v>18</v>
      </c>
      <c r="E44" s="412" t="s">
        <v>357</v>
      </c>
      <c r="F44" s="412" t="s">
        <v>358</v>
      </c>
      <c r="G44" s="413" t="s">
        <v>294</v>
      </c>
      <c r="H44" s="414" t="s">
        <v>359</v>
      </c>
      <c r="I44" s="414" t="s">
        <v>360</v>
      </c>
      <c r="J44" s="415" t="s">
        <v>361</v>
      </c>
    </row>
    <row r="45" spans="2:13" x14ac:dyDescent="0.25">
      <c r="B45" s="416"/>
      <c r="C45" s="417"/>
      <c r="D45" s="418"/>
      <c r="E45" s="419"/>
      <c r="F45" s="419"/>
      <c r="G45" s="419"/>
      <c r="H45" s="420"/>
      <c r="I45" s="420"/>
      <c r="J45" s="421"/>
    </row>
    <row r="46" spans="2:13" ht="46.95" customHeight="1" x14ac:dyDescent="0.25">
      <c r="B46" s="502">
        <v>1.04</v>
      </c>
      <c r="C46" s="503" t="s">
        <v>479</v>
      </c>
      <c r="D46" s="504"/>
      <c r="E46" s="505"/>
      <c r="F46" s="505"/>
      <c r="G46" s="505"/>
      <c r="H46" s="506"/>
      <c r="I46" s="506"/>
      <c r="J46" s="507">
        <f>+J117</f>
        <v>0</v>
      </c>
    </row>
    <row r="47" spans="2:13" ht="36.6" hidden="1" customHeight="1" x14ac:dyDescent="0.25">
      <c r="B47" s="473">
        <f>+B46+0.0001</f>
        <v>1.0401</v>
      </c>
      <c r="C47" s="474" t="s">
        <v>279</v>
      </c>
      <c r="D47" s="469"/>
      <c r="E47" s="470"/>
      <c r="F47" s="470"/>
      <c r="G47" s="470"/>
      <c r="H47" s="471"/>
      <c r="I47" s="471"/>
      <c r="J47" s="472">
        <f>SUM(J48)</f>
        <v>0</v>
      </c>
    </row>
    <row r="48" spans="2:13" ht="51.6" hidden="1" customHeight="1" x14ac:dyDescent="0.25">
      <c r="B48" s="478"/>
      <c r="C48" s="479" t="s">
        <v>362</v>
      </c>
      <c r="D48" s="480" t="s">
        <v>363</v>
      </c>
      <c r="E48" s="481">
        <v>1</v>
      </c>
      <c r="F48" s="481"/>
      <c r="G48" s="481"/>
      <c r="H48" s="482"/>
      <c r="I48" s="482">
        <f>+I49+I50</f>
        <v>0</v>
      </c>
      <c r="J48" s="425">
        <f>ROUND(E48*I48,2)</f>
        <v>0</v>
      </c>
    </row>
    <row r="49" spans="1:15" ht="32.25" hidden="1" customHeight="1" x14ac:dyDescent="0.25">
      <c r="B49" s="490"/>
      <c r="C49" s="491" t="s">
        <v>364</v>
      </c>
      <c r="D49" s="486" t="s">
        <v>205</v>
      </c>
      <c r="E49" s="487"/>
      <c r="F49" s="487"/>
      <c r="G49" s="487">
        <v>0</v>
      </c>
      <c r="H49" s="488">
        <f>JornalMed</f>
        <v>444.44</v>
      </c>
      <c r="I49" s="488">
        <f>ROUND(G49*H49,2)</f>
        <v>0</v>
      </c>
      <c r="J49" s="432"/>
      <c r="L49" s="433"/>
    </row>
    <row r="50" spans="1:15" ht="38.4" hidden="1" customHeight="1" x14ac:dyDescent="0.25">
      <c r="B50" s="484"/>
      <c r="C50" s="491" t="s">
        <v>365</v>
      </c>
      <c r="D50" s="486" t="s">
        <v>366</v>
      </c>
      <c r="E50" s="487"/>
      <c r="F50" s="487"/>
      <c r="G50" s="487">
        <v>0</v>
      </c>
      <c r="H50" s="488">
        <f>JornalMed+E5</f>
        <v>638.88</v>
      </c>
      <c r="I50" s="488">
        <f>ROUND(G50*H50,2)</f>
        <v>0</v>
      </c>
      <c r="J50" s="432"/>
      <c r="L50" s="433" t="s">
        <v>367</v>
      </c>
    </row>
    <row r="51" spans="1:15" x14ac:dyDescent="0.25">
      <c r="B51" s="434"/>
      <c r="C51" s="431"/>
      <c r="D51" s="422"/>
      <c r="E51" s="423"/>
      <c r="F51" s="423"/>
      <c r="G51" s="423"/>
      <c r="H51" s="424"/>
      <c r="I51" s="424"/>
      <c r="J51" s="432"/>
      <c r="L51" s="433"/>
    </row>
    <row r="52" spans="1:15" ht="18" customHeight="1" x14ac:dyDescent="0.25">
      <c r="A52" s="401" t="s">
        <v>368</v>
      </c>
      <c r="B52" s="473">
        <f>+B47+0.0001</f>
        <v>1.0402</v>
      </c>
      <c r="C52" s="468" t="s">
        <v>281</v>
      </c>
      <c r="D52" s="469"/>
      <c r="E52" s="470"/>
      <c r="F52" s="470"/>
      <c r="G52" s="470"/>
      <c r="H52" s="471"/>
      <c r="I52" s="471"/>
      <c r="J52" s="472">
        <f>+J53</f>
        <v>0</v>
      </c>
      <c r="L52" s="435"/>
    </row>
    <row r="53" spans="1:15" ht="39" customHeight="1" x14ac:dyDescent="0.25">
      <c r="B53" s="426"/>
      <c r="C53" s="427" t="s">
        <v>369</v>
      </c>
      <c r="D53" s="428" t="s">
        <v>7</v>
      </c>
      <c r="E53" s="429">
        <v>2</v>
      </c>
      <c r="F53" s="429"/>
      <c r="G53" s="429"/>
      <c r="H53" s="430"/>
      <c r="I53" s="430">
        <f>+SUM(I54:I56)</f>
        <v>0</v>
      </c>
      <c r="J53" s="425">
        <f>ROUND(PRODUCT(E53:I53),2)</f>
        <v>0</v>
      </c>
      <c r="L53" s="435"/>
    </row>
    <row r="54" spans="1:15" ht="30" customHeight="1" x14ac:dyDescent="0.25">
      <c r="B54" s="484"/>
      <c r="C54" s="491" t="s">
        <v>370</v>
      </c>
      <c r="D54" s="486" t="s">
        <v>7</v>
      </c>
      <c r="E54" s="487"/>
      <c r="F54" s="487">
        <v>1</v>
      </c>
      <c r="G54" s="487">
        <v>1</v>
      </c>
      <c r="H54" s="644"/>
      <c r="I54" s="488">
        <f>ROUND(H54*G54*F54,2)</f>
        <v>0</v>
      </c>
      <c r="J54" s="432"/>
      <c r="L54" s="435"/>
    </row>
    <row r="55" spans="1:15" ht="27.6" x14ac:dyDescent="0.25">
      <c r="B55" s="484"/>
      <c r="C55" s="491" t="s">
        <v>371</v>
      </c>
      <c r="D55" s="486" t="s">
        <v>7</v>
      </c>
      <c r="E55" s="487"/>
      <c r="F55" s="487">
        <v>1</v>
      </c>
      <c r="G55" s="487">
        <f>D25</f>
        <v>100</v>
      </c>
      <c r="H55" s="644"/>
      <c r="I55" s="488">
        <f t="shared" ref="I55:I56" si="0">ROUND(H55*G55*F55,2)</f>
        <v>0</v>
      </c>
      <c r="J55" s="432"/>
      <c r="L55" s="435"/>
      <c r="O55" s="436" t="s">
        <v>372</v>
      </c>
    </row>
    <row r="56" spans="1:15" ht="27.6" x14ac:dyDescent="0.25">
      <c r="B56" s="484"/>
      <c r="C56" s="491" t="s">
        <v>373</v>
      </c>
      <c r="D56" s="486" t="s">
        <v>7</v>
      </c>
      <c r="E56" s="487"/>
      <c r="F56" s="487">
        <v>1</v>
      </c>
      <c r="G56" s="487">
        <f>+D27</f>
        <v>3.6</v>
      </c>
      <c r="H56" s="644"/>
      <c r="I56" s="488">
        <f t="shared" si="0"/>
        <v>0</v>
      </c>
      <c r="J56" s="432"/>
      <c r="L56" s="435"/>
      <c r="M56" s="401" t="s">
        <v>374</v>
      </c>
    </row>
    <row r="57" spans="1:15" x14ac:dyDescent="0.25">
      <c r="B57" s="434"/>
      <c r="C57" s="431"/>
      <c r="D57" s="422"/>
      <c r="E57" s="423"/>
      <c r="F57" s="423"/>
      <c r="G57" s="423"/>
      <c r="H57" s="644"/>
      <c r="I57" s="424"/>
      <c r="J57" s="432"/>
      <c r="L57" s="435"/>
    </row>
    <row r="58" spans="1:15" ht="35.25" customHeight="1" x14ac:dyDescent="0.25">
      <c r="A58" s="401" t="s">
        <v>375</v>
      </c>
      <c r="B58" s="473">
        <f>+B52+0.0001</f>
        <v>1.0403</v>
      </c>
      <c r="C58" s="468" t="s">
        <v>282</v>
      </c>
      <c r="D58" s="475"/>
      <c r="E58" s="476"/>
      <c r="F58" s="476"/>
      <c r="G58" s="476"/>
      <c r="H58" s="645"/>
      <c r="I58" s="477"/>
      <c r="J58" s="472">
        <f>+J59</f>
        <v>0</v>
      </c>
      <c r="L58" s="435"/>
    </row>
    <row r="59" spans="1:15" ht="31.2" customHeight="1" x14ac:dyDescent="0.25">
      <c r="B59" s="478"/>
      <c r="C59" s="500" t="s">
        <v>376</v>
      </c>
      <c r="D59" s="480" t="s">
        <v>363</v>
      </c>
      <c r="E59" s="481">
        <v>1</v>
      </c>
      <c r="F59" s="481"/>
      <c r="G59" s="481"/>
      <c r="H59" s="645"/>
      <c r="I59" s="482">
        <f>+SUM(I60:I62)</f>
        <v>0</v>
      </c>
      <c r="J59" s="483">
        <f>ROUND(PRODUCT(E59:I59),2)</f>
        <v>0</v>
      </c>
      <c r="L59" s="435"/>
    </row>
    <row r="60" spans="1:15" ht="21" customHeight="1" x14ac:dyDescent="0.25">
      <c r="B60" s="484"/>
      <c r="C60" s="491" t="s">
        <v>377</v>
      </c>
      <c r="D60" s="486" t="s">
        <v>378</v>
      </c>
      <c r="E60" s="487"/>
      <c r="F60" s="487"/>
      <c r="G60" s="487">
        <v>1</v>
      </c>
      <c r="H60" s="646"/>
      <c r="I60" s="488">
        <f>ROUND(G60*H60,2)</f>
        <v>0</v>
      </c>
      <c r="J60" s="489"/>
      <c r="L60" s="437" t="s">
        <v>379</v>
      </c>
      <c r="M60" s="437" t="s">
        <v>380</v>
      </c>
    </row>
    <row r="61" spans="1:15" ht="21" customHeight="1" x14ac:dyDescent="0.25">
      <c r="B61" s="484"/>
      <c r="C61" s="491" t="s">
        <v>381</v>
      </c>
      <c r="D61" s="486" t="s">
        <v>378</v>
      </c>
      <c r="E61" s="487"/>
      <c r="F61" s="487"/>
      <c r="G61" s="487">
        <v>1</v>
      </c>
      <c r="H61" s="646"/>
      <c r="I61" s="488">
        <f>ROUND(G61*H61,2)</f>
        <v>0</v>
      </c>
      <c r="J61" s="489"/>
      <c r="L61" s="437" t="s">
        <v>382</v>
      </c>
      <c r="M61" s="437" t="s">
        <v>383</v>
      </c>
    </row>
    <row r="62" spans="1:15" ht="27.6" x14ac:dyDescent="0.25">
      <c r="B62" s="434"/>
      <c r="C62" s="431" t="s">
        <v>384</v>
      </c>
      <c r="D62" s="422" t="s">
        <v>385</v>
      </c>
      <c r="E62" s="423"/>
      <c r="F62" s="423"/>
      <c r="G62" s="423"/>
      <c r="H62" s="644"/>
      <c r="I62" s="424">
        <f>H62</f>
        <v>0</v>
      </c>
      <c r="J62" s="432"/>
    </row>
    <row r="63" spans="1:15" x14ac:dyDescent="0.25">
      <c r="B63" s="434"/>
      <c r="C63" s="438"/>
      <c r="D63" s="422"/>
      <c r="E63" s="423"/>
      <c r="F63" s="423"/>
      <c r="G63" s="423"/>
      <c r="H63" s="644"/>
      <c r="I63" s="424"/>
      <c r="J63" s="432"/>
    </row>
    <row r="64" spans="1:15" ht="19.95" customHeight="1" x14ac:dyDescent="0.25">
      <c r="A64" s="401" t="s">
        <v>386</v>
      </c>
      <c r="B64" s="473">
        <f>+B58+0.0001</f>
        <v>1.0404</v>
      </c>
      <c r="C64" s="468" t="s">
        <v>283</v>
      </c>
      <c r="D64" s="475"/>
      <c r="E64" s="476"/>
      <c r="F64" s="476"/>
      <c r="G64" s="476"/>
      <c r="H64" s="645"/>
      <c r="I64" s="477"/>
      <c r="J64" s="472">
        <f>+J65</f>
        <v>0</v>
      </c>
      <c r="L64" s="435"/>
    </row>
    <row r="65" spans="1:22" ht="46.2" customHeight="1" x14ac:dyDescent="0.25">
      <c r="B65" s="478"/>
      <c r="C65" s="479" t="s">
        <v>387</v>
      </c>
      <c r="D65" s="480" t="s">
        <v>7</v>
      </c>
      <c r="E65" s="481">
        <v>2</v>
      </c>
      <c r="F65" s="481"/>
      <c r="G65" s="481"/>
      <c r="H65" s="645"/>
      <c r="I65" s="482">
        <f>+SUM(I66:I78)</f>
        <v>0</v>
      </c>
      <c r="J65" s="483">
        <f>ROUND(PRODUCT(E65:I65),2)</f>
        <v>0</v>
      </c>
      <c r="L65" s="435"/>
    </row>
    <row r="66" spans="1:22" ht="19.95" customHeight="1" x14ac:dyDescent="0.25">
      <c r="B66" s="484"/>
      <c r="C66" s="485" t="s">
        <v>388</v>
      </c>
      <c r="D66" s="486" t="s">
        <v>205</v>
      </c>
      <c r="E66" s="487"/>
      <c r="F66" s="487"/>
      <c r="G66" s="487">
        <f>+'Etapa obra PRUEBAS'!N29</f>
        <v>0.04</v>
      </c>
      <c r="H66" s="647"/>
      <c r="I66" s="488">
        <f t="shared" ref="I66:I78" si="1">ROUND(H66*G66,2)</f>
        <v>0</v>
      </c>
      <c r="J66" s="489"/>
      <c r="L66" s="439" t="s">
        <v>389</v>
      </c>
      <c r="M66" s="401" t="s">
        <v>390</v>
      </c>
      <c r="N66" s="401">
        <v>14.2</v>
      </c>
      <c r="O66" s="401" t="s">
        <v>391</v>
      </c>
      <c r="P66" s="401" t="s">
        <v>392</v>
      </c>
      <c r="Q66" s="440">
        <f>14.2*3.785</f>
        <v>53.747</v>
      </c>
      <c r="U66" s="441"/>
      <c r="V66" s="441"/>
    </row>
    <row r="67" spans="1:22" ht="19.95" customHeight="1" x14ac:dyDescent="0.25">
      <c r="B67" s="484"/>
      <c r="C67" s="485" t="s">
        <v>393</v>
      </c>
      <c r="D67" s="486" t="s">
        <v>378</v>
      </c>
      <c r="E67" s="487"/>
      <c r="F67" s="487"/>
      <c r="G67" s="487">
        <f>+'Etapa obra PRUEBAS'!O29</f>
        <v>0.02</v>
      </c>
      <c r="H67" s="647"/>
      <c r="I67" s="488">
        <f t="shared" si="1"/>
        <v>0</v>
      </c>
      <c r="J67" s="489"/>
      <c r="L67" s="439"/>
      <c r="U67" s="441"/>
      <c r="V67" s="441"/>
    </row>
    <row r="68" spans="1:22" ht="19.95" customHeight="1" x14ac:dyDescent="0.25">
      <c r="B68" s="484"/>
      <c r="C68" s="485" t="s">
        <v>394</v>
      </c>
      <c r="D68" s="486" t="s">
        <v>378</v>
      </c>
      <c r="E68" s="487"/>
      <c r="F68" s="487"/>
      <c r="G68" s="487">
        <f>+'Etapa obra PRUEBAS'!P29</f>
        <v>6.0000000000000005E-2</v>
      </c>
      <c r="H68" s="647"/>
      <c r="I68" s="488">
        <f t="shared" si="1"/>
        <v>0</v>
      </c>
      <c r="J68" s="489"/>
      <c r="L68" s="439" t="s">
        <v>395</v>
      </c>
      <c r="M68" s="401" t="s">
        <v>396</v>
      </c>
      <c r="U68" s="441"/>
      <c r="V68" s="441"/>
    </row>
    <row r="69" spans="1:22" ht="19.95" customHeight="1" x14ac:dyDescent="0.25">
      <c r="B69" s="484"/>
      <c r="C69" s="485" t="s">
        <v>397</v>
      </c>
      <c r="D69" s="486" t="s">
        <v>378</v>
      </c>
      <c r="E69" s="487"/>
      <c r="F69" s="487"/>
      <c r="G69" s="487">
        <f>+'Etapa obra PRUEBAS'!Q29</f>
        <v>0.67</v>
      </c>
      <c r="H69" s="647"/>
      <c r="I69" s="488">
        <f t="shared" si="1"/>
        <v>0</v>
      </c>
      <c r="J69" s="489"/>
      <c r="L69" s="439" t="s">
        <v>398</v>
      </c>
      <c r="M69" s="401" t="s">
        <v>396</v>
      </c>
      <c r="U69" s="441"/>
      <c r="V69" s="441"/>
    </row>
    <row r="70" spans="1:22" ht="19.95" customHeight="1" x14ac:dyDescent="0.25">
      <c r="B70" s="484"/>
      <c r="C70" s="485" t="s">
        <v>399</v>
      </c>
      <c r="D70" s="486" t="s">
        <v>378</v>
      </c>
      <c r="E70" s="487"/>
      <c r="F70" s="487"/>
      <c r="G70" s="487">
        <f>+'Etapa obra PRUEBAS'!R29</f>
        <v>0.09</v>
      </c>
      <c r="H70" s="647"/>
      <c r="I70" s="488">
        <f t="shared" si="1"/>
        <v>0</v>
      </c>
      <c r="J70" s="489"/>
      <c r="L70" s="439"/>
      <c r="U70" s="441"/>
      <c r="V70" s="441"/>
    </row>
    <row r="71" spans="1:22" ht="28.2" customHeight="1" x14ac:dyDescent="0.25">
      <c r="B71" s="484"/>
      <c r="C71" s="485" t="s">
        <v>400</v>
      </c>
      <c r="D71" s="486" t="s">
        <v>205</v>
      </c>
      <c r="E71" s="487"/>
      <c r="F71" s="487"/>
      <c r="G71" s="487">
        <f>+'Etapa obra PRUEBAS'!S29</f>
        <v>0.09</v>
      </c>
      <c r="H71" s="647"/>
      <c r="I71" s="488">
        <f t="shared" si="1"/>
        <v>0</v>
      </c>
      <c r="J71" s="489"/>
      <c r="L71" s="439"/>
      <c r="U71" s="441"/>
      <c r="V71" s="441"/>
    </row>
    <row r="72" spans="1:22" ht="19.95" customHeight="1" x14ac:dyDescent="0.25">
      <c r="B72" s="484"/>
      <c r="C72" s="485" t="s">
        <v>401</v>
      </c>
      <c r="D72" s="486" t="s">
        <v>378</v>
      </c>
      <c r="E72" s="487"/>
      <c r="F72" s="487"/>
      <c r="G72" s="487">
        <f>+'Etapa obra PRUEBAS'!T29</f>
        <v>1</v>
      </c>
      <c r="H72" s="647"/>
      <c r="I72" s="488">
        <f t="shared" si="1"/>
        <v>0</v>
      </c>
      <c r="J72" s="489"/>
      <c r="L72" s="439" t="s">
        <v>402</v>
      </c>
      <c r="U72" s="441"/>
      <c r="V72" s="441"/>
    </row>
    <row r="73" spans="1:22" ht="19.95" customHeight="1" x14ac:dyDescent="0.25">
      <c r="B73" s="484"/>
      <c r="C73" s="485" t="s">
        <v>403</v>
      </c>
      <c r="D73" s="486" t="s">
        <v>378</v>
      </c>
      <c r="E73" s="487"/>
      <c r="F73" s="487"/>
      <c r="G73" s="487">
        <v>0</v>
      </c>
      <c r="H73" s="647"/>
      <c r="I73" s="488">
        <f t="shared" si="1"/>
        <v>0</v>
      </c>
      <c r="J73" s="489"/>
      <c r="L73" s="437" t="s">
        <v>404</v>
      </c>
      <c r="U73" s="441"/>
      <c r="V73" s="441"/>
    </row>
    <row r="74" spans="1:22" ht="19.95" customHeight="1" x14ac:dyDescent="0.25">
      <c r="B74" s="484"/>
      <c r="C74" s="485" t="s">
        <v>405</v>
      </c>
      <c r="D74" s="486" t="s">
        <v>378</v>
      </c>
      <c r="E74" s="487"/>
      <c r="F74" s="487"/>
      <c r="G74" s="487">
        <v>0</v>
      </c>
      <c r="H74" s="647"/>
      <c r="I74" s="488">
        <f t="shared" si="1"/>
        <v>0</v>
      </c>
      <c r="J74" s="489"/>
      <c r="L74" s="437" t="s">
        <v>406</v>
      </c>
      <c r="U74" s="441"/>
      <c r="V74" s="441"/>
    </row>
    <row r="75" spans="1:22" ht="19.95" customHeight="1" x14ac:dyDescent="0.25">
      <c r="B75" s="484"/>
      <c r="C75" s="485" t="s">
        <v>407</v>
      </c>
      <c r="D75" s="486" t="s">
        <v>378</v>
      </c>
      <c r="E75" s="487"/>
      <c r="F75" s="487"/>
      <c r="G75" s="487">
        <f>ROUND(PlazoDia/3,2)</f>
        <v>16.670000000000002</v>
      </c>
      <c r="H75" s="647"/>
      <c r="I75" s="488">
        <f t="shared" si="1"/>
        <v>0</v>
      </c>
      <c r="J75" s="489"/>
      <c r="L75" s="437"/>
      <c r="U75" s="441"/>
      <c r="V75" s="441"/>
    </row>
    <row r="76" spans="1:22" ht="19.95" customHeight="1" x14ac:dyDescent="0.25">
      <c r="B76" s="484"/>
      <c r="C76" s="485" t="s">
        <v>408</v>
      </c>
      <c r="D76" s="486" t="s">
        <v>378</v>
      </c>
      <c r="E76" s="487"/>
      <c r="F76" s="487"/>
      <c r="G76" s="487">
        <f>G75</f>
        <v>16.670000000000002</v>
      </c>
      <c r="H76" s="647"/>
      <c r="I76" s="488">
        <f t="shared" si="1"/>
        <v>0</v>
      </c>
      <c r="J76" s="489"/>
      <c r="L76" s="437"/>
      <c r="U76" s="441"/>
      <c r="V76" s="441"/>
    </row>
    <row r="77" spans="1:22" ht="27.6" x14ac:dyDescent="0.25">
      <c r="B77" s="484"/>
      <c r="C77" s="485" t="s">
        <v>409</v>
      </c>
      <c r="D77" s="486" t="s">
        <v>378</v>
      </c>
      <c r="E77" s="487"/>
      <c r="F77" s="487"/>
      <c r="G77" s="487">
        <f>ROUND(1/3,2)</f>
        <v>0.33</v>
      </c>
      <c r="H77" s="647"/>
      <c r="I77" s="488">
        <f t="shared" si="1"/>
        <v>0</v>
      </c>
      <c r="J77" s="489"/>
      <c r="L77" s="437" t="s">
        <v>410</v>
      </c>
      <c r="U77" s="441"/>
      <c r="V77" s="441"/>
    </row>
    <row r="78" spans="1:22" ht="21" customHeight="1" x14ac:dyDescent="0.25">
      <c r="B78" s="484"/>
      <c r="C78" s="485" t="s">
        <v>411</v>
      </c>
      <c r="D78" s="486" t="s">
        <v>412</v>
      </c>
      <c r="E78" s="487"/>
      <c r="F78" s="487"/>
      <c r="G78" s="487">
        <v>1</v>
      </c>
      <c r="H78" s="647"/>
      <c r="I78" s="488">
        <f t="shared" si="1"/>
        <v>0</v>
      </c>
      <c r="J78" s="489"/>
      <c r="L78" s="439" t="s">
        <v>413</v>
      </c>
      <c r="M78" s="401" t="s">
        <v>396</v>
      </c>
      <c r="U78" s="441"/>
      <c r="V78" s="441"/>
    </row>
    <row r="79" spans="1:22" x14ac:dyDescent="0.25">
      <c r="B79" s="484"/>
      <c r="C79" s="485"/>
      <c r="D79" s="486"/>
      <c r="E79" s="487"/>
      <c r="F79" s="487"/>
      <c r="G79" s="487"/>
      <c r="H79" s="647"/>
      <c r="I79" s="488"/>
      <c r="J79" s="489"/>
      <c r="L79" s="439"/>
      <c r="U79" s="441"/>
      <c r="V79" s="441"/>
    </row>
    <row r="80" spans="1:22" ht="28.95" customHeight="1" x14ac:dyDescent="0.25">
      <c r="A80" s="401" t="s">
        <v>414</v>
      </c>
      <c r="B80" s="473">
        <f>+B64+0.0001</f>
        <v>1.0405</v>
      </c>
      <c r="C80" s="501" t="s">
        <v>284</v>
      </c>
      <c r="D80" s="475"/>
      <c r="E80" s="476"/>
      <c r="F80" s="476"/>
      <c r="G80" s="476"/>
      <c r="H80" s="645"/>
      <c r="I80" s="477"/>
      <c r="J80" s="472">
        <f>+J81</f>
        <v>0</v>
      </c>
    </row>
    <row r="81" spans="1:18" ht="29.25" customHeight="1" x14ac:dyDescent="0.25">
      <c r="B81" s="478"/>
      <c r="C81" s="479" t="s">
        <v>415</v>
      </c>
      <c r="D81" s="480" t="s">
        <v>363</v>
      </c>
      <c r="E81" s="481">
        <v>1</v>
      </c>
      <c r="F81" s="481"/>
      <c r="G81" s="481"/>
      <c r="H81" s="645"/>
      <c r="I81" s="482">
        <f>+SUM(I82:I84)</f>
        <v>0</v>
      </c>
      <c r="J81" s="483">
        <f>ROUND(PRODUCT(E81:I81),2)</f>
        <v>0</v>
      </c>
    </row>
    <row r="82" spans="1:18" x14ac:dyDescent="0.25">
      <c r="B82" s="484"/>
      <c r="C82" s="491" t="s">
        <v>416</v>
      </c>
      <c r="D82" s="486" t="s">
        <v>205</v>
      </c>
      <c r="E82" s="487"/>
      <c r="F82" s="487"/>
      <c r="G82" s="487">
        <v>0.5</v>
      </c>
      <c r="H82" s="644"/>
      <c r="I82" s="488">
        <f t="shared" ref="I82:I84" si="2">ROUND(H82*G82,2)</f>
        <v>0</v>
      </c>
      <c r="J82" s="489"/>
      <c r="L82" s="442"/>
    </row>
    <row r="83" spans="1:18" x14ac:dyDescent="0.25">
      <c r="B83" s="484"/>
      <c r="C83" s="491" t="s">
        <v>417</v>
      </c>
      <c r="D83" s="486" t="s">
        <v>205</v>
      </c>
      <c r="E83" s="487"/>
      <c r="F83" s="487"/>
      <c r="G83" s="487">
        <f>G82</f>
        <v>0.5</v>
      </c>
      <c r="H83" s="644"/>
      <c r="I83" s="488">
        <f t="shared" si="2"/>
        <v>0</v>
      </c>
      <c r="J83" s="489"/>
    </row>
    <row r="84" spans="1:18" x14ac:dyDescent="0.25">
      <c r="B84" s="484"/>
      <c r="C84" s="485" t="s">
        <v>418</v>
      </c>
      <c r="D84" s="486" t="s">
        <v>378</v>
      </c>
      <c r="E84" s="487"/>
      <c r="F84" s="487"/>
      <c r="G84" s="487">
        <v>5</v>
      </c>
      <c r="H84" s="644"/>
      <c r="I84" s="488">
        <f t="shared" si="2"/>
        <v>0</v>
      </c>
      <c r="J84" s="489"/>
    </row>
    <row r="85" spans="1:18" x14ac:dyDescent="0.25">
      <c r="B85" s="484"/>
      <c r="C85" s="492"/>
      <c r="D85" s="486"/>
      <c r="E85" s="487"/>
      <c r="F85" s="487"/>
      <c r="G85" s="487"/>
      <c r="H85" s="644"/>
      <c r="I85" s="488"/>
      <c r="J85" s="489"/>
    </row>
    <row r="86" spans="1:18" x14ac:dyDescent="0.25">
      <c r="A86" s="401" t="s">
        <v>419</v>
      </c>
      <c r="B86" s="473">
        <f>+B80+0.0001</f>
        <v>1.0406</v>
      </c>
      <c r="C86" s="501" t="s">
        <v>285</v>
      </c>
      <c r="D86" s="475"/>
      <c r="E86" s="476"/>
      <c r="F86" s="476"/>
      <c r="G86" s="476"/>
      <c r="H86" s="645"/>
      <c r="I86" s="477"/>
      <c r="J86" s="472">
        <f>+J87</f>
        <v>0</v>
      </c>
    </row>
    <row r="87" spans="1:18" ht="31.2" customHeight="1" x14ac:dyDescent="0.25">
      <c r="B87" s="478"/>
      <c r="C87" s="479" t="s">
        <v>420</v>
      </c>
      <c r="D87" s="480" t="s">
        <v>363</v>
      </c>
      <c r="E87" s="481">
        <v>1</v>
      </c>
      <c r="F87" s="481"/>
      <c r="G87" s="481"/>
      <c r="H87" s="645"/>
      <c r="I87" s="482">
        <f>+SUM(I88:I91)</f>
        <v>0</v>
      </c>
      <c r="J87" s="483">
        <f>ROUND(PRODUCT(E87:I87),2)</f>
        <v>0</v>
      </c>
    </row>
    <row r="88" spans="1:18" ht="27.6" x14ac:dyDescent="0.25">
      <c r="B88" s="484"/>
      <c r="C88" s="491" t="s">
        <v>421</v>
      </c>
      <c r="D88" s="486" t="s">
        <v>7</v>
      </c>
      <c r="E88" s="487"/>
      <c r="F88" s="487"/>
      <c r="G88" s="487">
        <v>2</v>
      </c>
      <c r="H88" s="644"/>
      <c r="I88" s="488">
        <f t="shared" ref="I88:I91" si="3">ROUND(H88*G88,2)</f>
        <v>0</v>
      </c>
      <c r="J88" s="489"/>
      <c r="L88" s="435"/>
    </row>
    <row r="89" spans="1:18" x14ac:dyDescent="0.25">
      <c r="B89" s="484"/>
      <c r="C89" s="491" t="s">
        <v>422</v>
      </c>
      <c r="D89" s="486" t="s">
        <v>8</v>
      </c>
      <c r="E89" s="487"/>
      <c r="F89" s="487"/>
      <c r="G89" s="487">
        <v>1</v>
      </c>
      <c r="H89" s="644"/>
      <c r="I89" s="488">
        <f t="shared" si="3"/>
        <v>0</v>
      </c>
      <c r="J89" s="489"/>
      <c r="L89" s="435"/>
    </row>
    <row r="90" spans="1:18" x14ac:dyDescent="0.25">
      <c r="B90" s="484"/>
      <c r="C90" s="491" t="s">
        <v>423</v>
      </c>
      <c r="D90" s="486" t="s">
        <v>18</v>
      </c>
      <c r="E90" s="487"/>
      <c r="F90" s="487"/>
      <c r="G90" s="487">
        <v>1</v>
      </c>
      <c r="H90" s="644"/>
      <c r="I90" s="488">
        <f t="shared" si="3"/>
        <v>0</v>
      </c>
      <c r="J90" s="489"/>
      <c r="L90" s="435"/>
    </row>
    <row r="91" spans="1:18" x14ac:dyDescent="0.25">
      <c r="B91" s="484"/>
      <c r="C91" s="491" t="s">
        <v>424</v>
      </c>
      <c r="D91" s="486" t="s">
        <v>18</v>
      </c>
      <c r="E91" s="487"/>
      <c r="F91" s="487"/>
      <c r="G91" s="487">
        <v>1</v>
      </c>
      <c r="H91" s="644"/>
      <c r="I91" s="488">
        <f t="shared" si="3"/>
        <v>0</v>
      </c>
      <c r="J91" s="489"/>
      <c r="L91" s="435"/>
    </row>
    <row r="92" spans="1:18" x14ac:dyDescent="0.25">
      <c r="B92" s="484"/>
      <c r="C92" s="493"/>
      <c r="D92" s="486"/>
      <c r="E92" s="487"/>
      <c r="F92" s="487"/>
      <c r="G92" s="487"/>
      <c r="H92" s="644"/>
      <c r="I92" s="488"/>
      <c r="J92" s="489"/>
      <c r="L92" s="435"/>
    </row>
    <row r="93" spans="1:18" x14ac:dyDescent="0.25">
      <c r="A93" s="401" t="s">
        <v>425</v>
      </c>
      <c r="B93" s="473">
        <f>+B86+0.0001</f>
        <v>1.0407</v>
      </c>
      <c r="C93" s="468" t="s">
        <v>286</v>
      </c>
      <c r="D93" s="475"/>
      <c r="E93" s="476"/>
      <c r="F93" s="476"/>
      <c r="G93" s="476"/>
      <c r="H93" s="645"/>
      <c r="I93" s="477"/>
      <c r="J93" s="472">
        <f>+J94+J100</f>
        <v>0</v>
      </c>
      <c r="L93" s="435"/>
    </row>
    <row r="94" spans="1:18" ht="43.95" customHeight="1" x14ac:dyDescent="0.25">
      <c r="B94" s="478"/>
      <c r="C94" s="479" t="s">
        <v>426</v>
      </c>
      <c r="D94" s="480" t="s">
        <v>363</v>
      </c>
      <c r="E94" s="481">
        <v>1</v>
      </c>
      <c r="F94" s="481"/>
      <c r="G94" s="481"/>
      <c r="H94" s="645"/>
      <c r="I94" s="482">
        <f>+SUM(I95:I98)</f>
        <v>0</v>
      </c>
      <c r="J94" s="483">
        <f>+PRODUCT(E94:I94)</f>
        <v>0</v>
      </c>
      <c r="L94" s="435"/>
      <c r="P94" s="443" t="s">
        <v>427</v>
      </c>
    </row>
    <row r="95" spans="1:18" ht="19.95" customHeight="1" x14ac:dyDescent="0.25">
      <c r="B95" s="484"/>
      <c r="C95" s="491" t="s">
        <v>428</v>
      </c>
      <c r="D95" s="486" t="s">
        <v>18</v>
      </c>
      <c r="E95" s="487"/>
      <c r="F95" s="487"/>
      <c r="G95" s="487">
        <f>+'Etapa obra PRUEBAS'!F30</f>
        <v>12</v>
      </c>
      <c r="H95" s="644"/>
      <c r="I95" s="488">
        <f t="shared" ref="I95:I98" si="4">ROUND(H95*G95,2)</f>
        <v>0</v>
      </c>
      <c r="J95" s="489"/>
      <c r="L95" s="437" t="s">
        <v>429</v>
      </c>
      <c r="M95" s="401" t="s">
        <v>396</v>
      </c>
      <c r="N95" s="443" t="s">
        <v>430</v>
      </c>
      <c r="O95" s="443">
        <v>0.76</v>
      </c>
      <c r="P95" s="443">
        <f>0.76*50</f>
        <v>38</v>
      </c>
      <c r="Q95" s="443" t="s">
        <v>431</v>
      </c>
      <c r="R95" s="443"/>
    </row>
    <row r="96" spans="1:18" ht="19.95" customHeight="1" x14ac:dyDescent="0.25">
      <c r="B96" s="484"/>
      <c r="C96" s="494" t="s">
        <v>432</v>
      </c>
      <c r="D96" s="495" t="s">
        <v>18</v>
      </c>
      <c r="E96" s="487"/>
      <c r="F96" s="487"/>
      <c r="G96" s="487">
        <f>+'Etapa obra PRUEBAS'!G30</f>
        <v>6</v>
      </c>
      <c r="H96" s="644"/>
      <c r="I96" s="488">
        <f t="shared" si="4"/>
        <v>0</v>
      </c>
      <c r="J96" s="489"/>
      <c r="L96" s="437" t="s">
        <v>433</v>
      </c>
    </row>
    <row r="97" spans="1:19" ht="19.95" customHeight="1" x14ac:dyDescent="0.25">
      <c r="B97" s="484"/>
      <c r="C97" s="491" t="s">
        <v>434</v>
      </c>
      <c r="D97" s="486" t="s">
        <v>18</v>
      </c>
      <c r="E97" s="487"/>
      <c r="F97" s="487"/>
      <c r="G97" s="487">
        <f>+'Etapa obra PRUEBAS'!I30</f>
        <v>6</v>
      </c>
      <c r="H97" s="644"/>
      <c r="I97" s="488">
        <f t="shared" si="4"/>
        <v>0</v>
      </c>
      <c r="J97" s="489"/>
      <c r="L97" s="437" t="s">
        <v>435</v>
      </c>
    </row>
    <row r="98" spans="1:19" ht="19.95" customHeight="1" x14ac:dyDescent="0.25">
      <c r="B98" s="484"/>
      <c r="C98" s="491" t="s">
        <v>436</v>
      </c>
      <c r="D98" s="486" t="s">
        <v>18</v>
      </c>
      <c r="E98" s="487"/>
      <c r="F98" s="487"/>
      <c r="G98" s="487">
        <f>+'Etapa obra PRUEBAS'!J30</f>
        <v>18</v>
      </c>
      <c r="H98" s="644"/>
      <c r="I98" s="488">
        <f t="shared" si="4"/>
        <v>0</v>
      </c>
      <c r="J98" s="489"/>
      <c r="L98" s="437" t="s">
        <v>437</v>
      </c>
      <c r="M98" s="401" t="s">
        <v>438</v>
      </c>
    </row>
    <row r="99" spans="1:19" x14ac:dyDescent="0.25">
      <c r="B99" s="484"/>
      <c r="C99" s="491"/>
      <c r="D99" s="486"/>
      <c r="E99" s="487"/>
      <c r="F99" s="487"/>
      <c r="G99" s="487"/>
      <c r="H99" s="644"/>
      <c r="I99" s="488"/>
      <c r="J99" s="489"/>
      <c r="L99" s="435"/>
    </row>
    <row r="100" spans="1:19" ht="39.6" customHeight="1" x14ac:dyDescent="0.25">
      <c r="B100" s="478"/>
      <c r="C100" s="479" t="s">
        <v>439</v>
      </c>
      <c r="D100" s="480" t="s">
        <v>363</v>
      </c>
      <c r="E100" s="481">
        <v>1</v>
      </c>
      <c r="F100" s="481"/>
      <c r="G100" s="481"/>
      <c r="H100" s="645"/>
      <c r="I100" s="482">
        <f>+SUM(I101:I107)</f>
        <v>0</v>
      </c>
      <c r="J100" s="483">
        <f>+PRODUCT(E100:I100)</f>
        <v>0</v>
      </c>
      <c r="L100" s="435"/>
    </row>
    <row r="101" spans="1:19" ht="19.95" customHeight="1" x14ac:dyDescent="0.25">
      <c r="B101" s="484"/>
      <c r="C101" s="494" t="s">
        <v>440</v>
      </c>
      <c r="D101" s="486" t="s">
        <v>18</v>
      </c>
      <c r="E101" s="487"/>
      <c r="F101" s="487"/>
      <c r="G101" s="487">
        <f>+'Etapa obra PRUEBAS'!H31</f>
        <v>2</v>
      </c>
      <c r="H101" s="644"/>
      <c r="I101" s="488">
        <f t="shared" ref="I101:I107" si="5">ROUND(H101*G101,2)</f>
        <v>0</v>
      </c>
      <c r="J101" s="489"/>
      <c r="L101" s="437" t="s">
        <v>441</v>
      </c>
      <c r="N101" s="401" t="s">
        <v>430</v>
      </c>
      <c r="O101" s="401">
        <v>4.9000000000000004</v>
      </c>
      <c r="P101" s="401">
        <f>4.9*50</f>
        <v>245.00000000000003</v>
      </c>
    </row>
    <row r="102" spans="1:19" ht="27.6" x14ac:dyDescent="0.25">
      <c r="B102" s="484"/>
      <c r="C102" s="494" t="s">
        <v>442</v>
      </c>
      <c r="D102" s="486" t="s">
        <v>18</v>
      </c>
      <c r="E102" s="496"/>
      <c r="F102" s="497"/>
      <c r="G102" s="497">
        <f>+'Etapa obra PRUEBAS'!G31</f>
        <v>2</v>
      </c>
      <c r="H102" s="648"/>
      <c r="I102" s="488">
        <f t="shared" si="5"/>
        <v>0</v>
      </c>
      <c r="J102" s="489"/>
      <c r="L102" s="435"/>
    </row>
    <row r="103" spans="1:19" ht="19.95" customHeight="1" x14ac:dyDescent="0.25">
      <c r="B103" s="484"/>
      <c r="C103" s="494" t="s">
        <v>434</v>
      </c>
      <c r="D103" s="486" t="s">
        <v>18</v>
      </c>
      <c r="E103" s="487"/>
      <c r="F103" s="487"/>
      <c r="G103" s="487">
        <f>+'Etapa obra PRUEBAS'!I31</f>
        <v>2</v>
      </c>
      <c r="H103" s="644"/>
      <c r="I103" s="488">
        <f t="shared" si="5"/>
        <v>0</v>
      </c>
      <c r="J103" s="489"/>
      <c r="L103" s="435"/>
      <c r="N103" s="444" t="s">
        <v>443</v>
      </c>
      <c r="O103" s="443"/>
      <c r="P103" s="443" t="s">
        <v>444</v>
      </c>
      <c r="Q103" s="443"/>
      <c r="R103" s="443"/>
      <c r="S103" s="443"/>
    </row>
    <row r="104" spans="1:19" ht="19.95" customHeight="1" x14ac:dyDescent="0.25">
      <c r="B104" s="484"/>
      <c r="C104" s="494" t="s">
        <v>436</v>
      </c>
      <c r="D104" s="486" t="s">
        <v>18</v>
      </c>
      <c r="E104" s="487"/>
      <c r="F104" s="487"/>
      <c r="G104" s="487">
        <f>+'Etapa obra PRUEBAS'!J31</f>
        <v>3</v>
      </c>
      <c r="H104" s="644"/>
      <c r="I104" s="488">
        <f t="shared" si="5"/>
        <v>0</v>
      </c>
      <c r="J104" s="489"/>
      <c r="L104" s="435"/>
      <c r="N104" s="445">
        <f>55/50</f>
        <v>1.1000000000000001</v>
      </c>
      <c r="O104" s="445"/>
      <c r="P104" s="443" t="s">
        <v>445</v>
      </c>
      <c r="Q104" s="443"/>
      <c r="R104" s="443"/>
      <c r="S104" s="443"/>
    </row>
    <row r="105" spans="1:19" ht="19.95" customHeight="1" x14ac:dyDescent="0.25">
      <c r="B105" s="484"/>
      <c r="C105" s="494" t="s">
        <v>446</v>
      </c>
      <c r="D105" s="486" t="s">
        <v>18</v>
      </c>
      <c r="E105" s="487"/>
      <c r="F105" s="487"/>
      <c r="G105" s="487">
        <f>+'Etapa obra PRUEBAS'!K31</f>
        <v>100</v>
      </c>
      <c r="H105" s="644"/>
      <c r="I105" s="488">
        <f t="shared" si="5"/>
        <v>0</v>
      </c>
      <c r="J105" s="489"/>
      <c r="L105" s="437" t="s">
        <v>447</v>
      </c>
      <c r="M105" s="401" t="s">
        <v>396</v>
      </c>
      <c r="N105" s="443">
        <f>53/50</f>
        <v>1.06</v>
      </c>
      <c r="O105" s="445"/>
      <c r="P105" s="443" t="s">
        <v>448</v>
      </c>
      <c r="Q105" s="443"/>
      <c r="R105" s="443"/>
      <c r="S105" s="443"/>
    </row>
    <row r="106" spans="1:19" ht="19.95" customHeight="1" x14ac:dyDescent="0.25">
      <c r="B106" s="484"/>
      <c r="C106" s="494" t="s">
        <v>449</v>
      </c>
      <c r="D106" s="486" t="s">
        <v>18</v>
      </c>
      <c r="E106" s="487"/>
      <c r="F106" s="487"/>
      <c r="G106" s="487">
        <f>+'Etapa obra PRUEBAS'!L31</f>
        <v>24</v>
      </c>
      <c r="H106" s="644"/>
      <c r="I106" s="488">
        <f t="shared" si="5"/>
        <v>0</v>
      </c>
      <c r="J106" s="489"/>
      <c r="L106" s="435"/>
    </row>
    <row r="107" spans="1:19" ht="19.95" customHeight="1" x14ac:dyDescent="0.25">
      <c r="B107" s="484"/>
      <c r="C107" s="494" t="s">
        <v>450</v>
      </c>
      <c r="D107" s="486" t="s">
        <v>18</v>
      </c>
      <c r="E107" s="487"/>
      <c r="F107" s="487"/>
      <c r="G107" s="487">
        <f>+'Etapa obra PRUEBAS'!M31</f>
        <v>16</v>
      </c>
      <c r="H107" s="644"/>
      <c r="I107" s="488">
        <f t="shared" si="5"/>
        <v>0</v>
      </c>
      <c r="J107" s="489"/>
      <c r="L107" s="446" t="s">
        <v>451</v>
      </c>
      <c r="M107" s="401" t="s">
        <v>396</v>
      </c>
    </row>
    <row r="108" spans="1:19" x14ac:dyDescent="0.25">
      <c r="B108" s="484"/>
      <c r="C108" s="498"/>
      <c r="D108" s="486"/>
      <c r="E108" s="487"/>
      <c r="F108" s="487"/>
      <c r="G108" s="487"/>
      <c r="H108" s="644"/>
      <c r="I108" s="488"/>
      <c r="J108" s="489"/>
      <c r="L108" s="435"/>
    </row>
    <row r="109" spans="1:19" ht="35.25" customHeight="1" x14ac:dyDescent="0.25">
      <c r="A109" s="401" t="s">
        <v>452</v>
      </c>
      <c r="B109" s="473">
        <f>+B93+0.0001</f>
        <v>1.0407999999999999</v>
      </c>
      <c r="C109" s="468" t="s">
        <v>287</v>
      </c>
      <c r="D109" s="475"/>
      <c r="E109" s="476"/>
      <c r="F109" s="476"/>
      <c r="G109" s="476"/>
      <c r="H109" s="645"/>
      <c r="I109" s="477"/>
      <c r="J109" s="472">
        <f>+J110+J114</f>
        <v>0</v>
      </c>
    </row>
    <row r="110" spans="1:19" ht="27.6" x14ac:dyDescent="0.25">
      <c r="B110" s="478"/>
      <c r="C110" s="479" t="s">
        <v>453</v>
      </c>
      <c r="D110" s="480" t="s">
        <v>7</v>
      </c>
      <c r="E110" s="481">
        <v>2</v>
      </c>
      <c r="F110" s="481"/>
      <c r="G110" s="481"/>
      <c r="H110" s="645"/>
      <c r="I110" s="482">
        <f>+SUM(I111:I113)</f>
        <v>0</v>
      </c>
      <c r="J110" s="483">
        <f>+E110*I110</f>
        <v>0</v>
      </c>
      <c r="L110" s="435"/>
    </row>
    <row r="111" spans="1:19" ht="23.4" customHeight="1" x14ac:dyDescent="0.25">
      <c r="B111" s="484"/>
      <c r="C111" s="491" t="s">
        <v>454</v>
      </c>
      <c r="D111" s="499" t="s">
        <v>455</v>
      </c>
      <c r="E111" s="487"/>
      <c r="F111" s="487"/>
      <c r="G111" s="487"/>
      <c r="H111" s="644"/>
      <c r="I111" s="488"/>
      <c r="J111" s="489"/>
    </row>
    <row r="112" spans="1:19" ht="26.4" customHeight="1" x14ac:dyDescent="0.25">
      <c r="B112" s="484"/>
      <c r="C112" s="491" t="s">
        <v>456</v>
      </c>
      <c r="D112" s="499" t="s">
        <v>455</v>
      </c>
      <c r="E112" s="487"/>
      <c r="F112" s="487"/>
      <c r="G112" s="487"/>
      <c r="H112" s="644"/>
      <c r="I112" s="488"/>
      <c r="J112" s="489"/>
    </row>
    <row r="113" spans="2:12" ht="30.6" customHeight="1" x14ac:dyDescent="0.25">
      <c r="B113" s="484"/>
      <c r="C113" s="491" t="s">
        <v>457</v>
      </c>
      <c r="D113" s="486" t="s">
        <v>7</v>
      </c>
      <c r="E113" s="487"/>
      <c r="F113" s="487">
        <v>1</v>
      </c>
      <c r="G113" s="487">
        <v>1</v>
      </c>
      <c r="H113" s="644"/>
      <c r="I113" s="488">
        <f>ROUND(G113*H113*F113,2)</f>
        <v>0</v>
      </c>
      <c r="J113" s="489"/>
    </row>
    <row r="114" spans="2:12" ht="27.6" customHeight="1" x14ac:dyDescent="0.25">
      <c r="B114" s="478"/>
      <c r="C114" s="479" t="s">
        <v>458</v>
      </c>
      <c r="D114" s="480" t="s">
        <v>205</v>
      </c>
      <c r="E114" s="481">
        <v>1</v>
      </c>
      <c r="F114" s="481"/>
      <c r="G114" s="481"/>
      <c r="H114" s="645"/>
      <c r="I114" s="482">
        <f>+I115</f>
        <v>0</v>
      </c>
      <c r="J114" s="483">
        <f>+E114*I114</f>
        <v>0</v>
      </c>
    </row>
    <row r="115" spans="2:12" ht="19.95" customHeight="1" x14ac:dyDescent="0.25">
      <c r="B115" s="484"/>
      <c r="C115" s="491" t="s">
        <v>459</v>
      </c>
      <c r="D115" s="486" t="s">
        <v>378</v>
      </c>
      <c r="E115" s="487"/>
      <c r="F115" s="487"/>
      <c r="G115" s="487">
        <f>ROUNDUP(Numtrabtotal*0.25,0)*1+ROUNDUP(PlazoMes/2,0)*D10</f>
        <v>3</v>
      </c>
      <c r="H115" s="644"/>
      <c r="I115" s="488">
        <f>ROUND(G115*H115,2)</f>
        <v>0</v>
      </c>
      <c r="J115" s="489"/>
      <c r="L115" s="437" t="s">
        <v>460</v>
      </c>
    </row>
    <row r="116" spans="2:12" x14ac:dyDescent="0.25">
      <c r="B116" s="434"/>
      <c r="C116" s="447"/>
      <c r="D116" s="448"/>
      <c r="E116" s="449"/>
      <c r="F116" s="449"/>
      <c r="G116" s="449"/>
      <c r="H116" s="649"/>
      <c r="I116" s="450"/>
      <c r="J116" s="432"/>
    </row>
    <row r="117" spans="2:12" ht="22.95" customHeight="1" x14ac:dyDescent="0.25">
      <c r="B117" s="467"/>
      <c r="C117" s="468" t="s">
        <v>461</v>
      </c>
      <c r="D117" s="469"/>
      <c r="E117" s="470"/>
      <c r="F117" s="470"/>
      <c r="G117" s="470"/>
      <c r="H117" s="471"/>
      <c r="I117" s="471"/>
      <c r="J117" s="472">
        <f>+J47+J52+J58+J64+J80+J86+J93+J109</f>
        <v>0</v>
      </c>
      <c r="K117" s="451"/>
    </row>
    <row r="118" spans="2:12" ht="15" thickBot="1" x14ac:dyDescent="0.3">
      <c r="B118" s="452"/>
      <c r="C118" s="453"/>
      <c r="D118" s="454"/>
      <c r="E118" s="455"/>
      <c r="F118" s="455"/>
      <c r="G118" s="455"/>
      <c r="H118" s="456"/>
      <c r="I118" s="456"/>
      <c r="J118" s="457"/>
    </row>
    <row r="119" spans="2:12" x14ac:dyDescent="0.25">
      <c r="B119" s="458"/>
      <c r="C119" s="458"/>
      <c r="D119" s="459"/>
      <c r="E119" s="460"/>
      <c r="F119" s="460"/>
      <c r="G119" s="460"/>
      <c r="H119" s="461"/>
      <c r="I119" s="462"/>
      <c r="J119" s="463"/>
      <c r="K119" s="464"/>
    </row>
    <row r="120" spans="2:12" x14ac:dyDescent="0.25">
      <c r="B120" s="458"/>
      <c r="C120" s="458"/>
      <c r="D120" s="460"/>
      <c r="E120" s="460"/>
      <c r="F120" s="460"/>
      <c r="G120" s="460"/>
      <c r="H120" s="462"/>
    </row>
    <row r="121" spans="2:12" x14ac:dyDescent="0.25">
      <c r="B121" s="458"/>
      <c r="C121" s="458"/>
      <c r="D121" s="460"/>
      <c r="E121" s="460"/>
      <c r="F121" s="460"/>
      <c r="G121" s="460"/>
      <c r="H121" s="462"/>
      <c r="J121" s="465"/>
    </row>
    <row r="124" spans="2:12" x14ac:dyDescent="0.25">
      <c r="C124" s="466"/>
    </row>
    <row r="125" spans="2:12" x14ac:dyDescent="0.25">
      <c r="C125" s="466"/>
    </row>
  </sheetData>
  <mergeCells count="2">
    <mergeCell ref="B43:J43"/>
    <mergeCell ref="B44:C44"/>
  </mergeCells>
  <hyperlinks>
    <hyperlink ref="O55" r:id="rId1" display="http://www.exitmaxsac.com/"/>
  </hyperlinks>
  <pageMargins left="0.70866141732283472" right="0.70866141732283472" top="0.74803149606299213" bottom="0.74803149606299213" header="0.31496062992125984" footer="0.31496062992125984"/>
  <pageSetup scale="70" orientation="landscape" r:id="rId2"/>
  <rowBreaks count="3" manualBreakCount="3">
    <brk id="72" max="10" man="1"/>
    <brk id="85" max="10" man="1"/>
    <brk id="9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5"/>
  <sheetViews>
    <sheetView topLeftCell="A88" zoomScale="80" zoomScaleNormal="80" workbookViewId="0">
      <selection activeCell="J117" sqref="J117"/>
    </sheetView>
  </sheetViews>
  <sheetFormatPr baseColWidth="10" defaultColWidth="11.44140625" defaultRowHeight="14.4" x14ac:dyDescent="0.25"/>
  <cols>
    <col min="1" max="1" width="1.6640625" style="401" customWidth="1"/>
    <col min="2" max="2" width="13.33203125" style="401" customWidth="1"/>
    <col min="3" max="3" width="81" style="401" customWidth="1"/>
    <col min="4" max="4" width="11.33203125" style="402" customWidth="1"/>
    <col min="5" max="5" width="9.88671875" style="402" customWidth="1"/>
    <col min="6" max="6" width="13.6640625" style="402" customWidth="1"/>
    <col min="7" max="7" width="9.109375" style="402" customWidth="1"/>
    <col min="8" max="8" width="10.109375" style="403" customWidth="1"/>
    <col min="9" max="9" width="14.109375" style="403" bestFit="1" customWidth="1"/>
    <col min="10" max="10" width="12.33203125" style="403" customWidth="1"/>
    <col min="11" max="11" width="1.6640625" style="401" customWidth="1"/>
    <col min="12" max="12" width="13.33203125" style="401" hidden="1" customWidth="1"/>
    <col min="13" max="13" width="13.6640625" style="401" hidden="1" customWidth="1"/>
    <col min="14" max="21" width="11.44140625" style="401" hidden="1" customWidth="1"/>
    <col min="22" max="23" width="11.44140625" style="401" customWidth="1"/>
    <col min="24" max="16384" width="11.44140625" style="401"/>
  </cols>
  <sheetData>
    <row r="1" spans="3:9" hidden="1" x14ac:dyDescent="0.25"/>
    <row r="2" spans="3:9" hidden="1" x14ac:dyDescent="0.25"/>
    <row r="3" spans="3:9" hidden="1" x14ac:dyDescent="0.25">
      <c r="D3" s="402" t="s">
        <v>323</v>
      </c>
      <c r="E3" s="402" t="s">
        <v>324</v>
      </c>
    </row>
    <row r="4" spans="3:9" hidden="1" x14ac:dyDescent="0.25">
      <c r="C4" s="401" t="s">
        <v>325</v>
      </c>
      <c r="D4" s="404">
        <v>10666.67</v>
      </c>
      <c r="E4" s="405">
        <f>ROUND(D4/24,2)</f>
        <v>444.44</v>
      </c>
    </row>
    <row r="5" spans="3:9" hidden="1" x14ac:dyDescent="0.25">
      <c r="C5" s="401" t="s">
        <v>326</v>
      </c>
      <c r="D5" s="404">
        <v>4666.67</v>
      </c>
      <c r="E5" s="405">
        <f>ROUND(D5/24,2)</f>
        <v>194.44</v>
      </c>
    </row>
    <row r="6" spans="3:9" hidden="1" x14ac:dyDescent="0.25">
      <c r="C6" s="401" t="s">
        <v>327</v>
      </c>
      <c r="D6" s="404">
        <v>10407</v>
      </c>
      <c r="E6" s="405">
        <f>ROUND(D6/24,2)</f>
        <v>433.63</v>
      </c>
    </row>
    <row r="7" spans="3:9" hidden="1" x14ac:dyDescent="0.25">
      <c r="C7" s="401" t="s">
        <v>328</v>
      </c>
      <c r="D7" s="404"/>
      <c r="E7" s="405"/>
    </row>
    <row r="8" spans="3:9" hidden="1" x14ac:dyDescent="0.25">
      <c r="C8" s="401" t="s">
        <v>329</v>
      </c>
      <c r="D8" s="404"/>
    </row>
    <row r="9" spans="3:9" hidden="1" x14ac:dyDescent="0.25">
      <c r="C9" s="406"/>
      <c r="D9" s="407"/>
      <c r="I9" s="403" t="s">
        <v>330</v>
      </c>
    </row>
    <row r="10" spans="3:9" hidden="1" x14ac:dyDescent="0.25">
      <c r="C10" s="406"/>
      <c r="D10" s="407">
        <v>1</v>
      </c>
      <c r="E10" s="402" t="s">
        <v>331</v>
      </c>
    </row>
    <row r="11" spans="3:9" hidden="1" x14ac:dyDescent="0.25">
      <c r="C11" s="406"/>
      <c r="D11" s="407"/>
    </row>
    <row r="12" spans="3:9" ht="31.5" hidden="1" customHeight="1" x14ac:dyDescent="0.25">
      <c r="C12" s="408"/>
      <c r="D12" s="407"/>
    </row>
    <row r="13" spans="3:9" hidden="1" x14ac:dyDescent="0.25">
      <c r="C13" s="409" t="s">
        <v>332</v>
      </c>
      <c r="D13" s="410">
        <f>+'Etapa RECEPCION'!C23</f>
        <v>8</v>
      </c>
      <c r="F13" s="402" t="s">
        <v>333</v>
      </c>
    </row>
    <row r="14" spans="3:9" hidden="1" x14ac:dyDescent="0.25">
      <c r="C14" s="401" t="s">
        <v>334</v>
      </c>
      <c r="F14" s="402" t="s">
        <v>322</v>
      </c>
    </row>
    <row r="15" spans="3:9" hidden="1" x14ac:dyDescent="0.25">
      <c r="C15" s="401" t="s">
        <v>335</v>
      </c>
      <c r="D15" s="402">
        <v>1</v>
      </c>
    </row>
    <row r="16" spans="3:9" hidden="1" x14ac:dyDescent="0.25">
      <c r="C16" s="401" t="s">
        <v>336</v>
      </c>
      <c r="D16" s="402">
        <f>PlazoMes*25</f>
        <v>25</v>
      </c>
    </row>
    <row r="17" spans="3:7" hidden="1" x14ac:dyDescent="0.25">
      <c r="C17" s="401" t="s">
        <v>337</v>
      </c>
      <c r="D17" s="402">
        <v>1</v>
      </c>
      <c r="F17" s="402">
        <v>100</v>
      </c>
      <c r="G17" s="402" t="s">
        <v>338</v>
      </c>
    </row>
    <row r="18" spans="3:7" hidden="1" x14ac:dyDescent="0.25">
      <c r="C18" s="401" t="s">
        <v>339</v>
      </c>
    </row>
    <row r="19" spans="3:7" hidden="1" x14ac:dyDescent="0.25"/>
    <row r="20" spans="3:7" hidden="1" x14ac:dyDescent="0.25">
      <c r="C20" s="401" t="s">
        <v>340</v>
      </c>
      <c r="E20" s="402" t="s">
        <v>338</v>
      </c>
    </row>
    <row r="21" spans="3:7" hidden="1" x14ac:dyDescent="0.25">
      <c r="C21" s="401" t="s">
        <v>341</v>
      </c>
    </row>
    <row r="22" spans="3:7" hidden="1" x14ac:dyDescent="0.25">
      <c r="C22" s="401" t="s">
        <v>342</v>
      </c>
    </row>
    <row r="23" spans="3:7" hidden="1" x14ac:dyDescent="0.25">
      <c r="C23" s="401" t="s">
        <v>343</v>
      </c>
    </row>
    <row r="24" spans="3:7" hidden="1" x14ac:dyDescent="0.25">
      <c r="C24" s="401" t="s">
        <v>344</v>
      </c>
    </row>
    <row r="25" spans="3:7" ht="17.25" hidden="1" customHeight="1" x14ac:dyDescent="0.25">
      <c r="C25" s="401" t="s">
        <v>462</v>
      </c>
      <c r="D25" s="402">
        <v>25</v>
      </c>
      <c r="E25" s="402" t="s">
        <v>338</v>
      </c>
    </row>
    <row r="26" spans="3:7" hidden="1" x14ac:dyDescent="0.25"/>
    <row r="27" spans="3:7" hidden="1" x14ac:dyDescent="0.25">
      <c r="C27" s="401" t="s">
        <v>345</v>
      </c>
      <c r="D27" s="402">
        <f>1*D29</f>
        <v>2</v>
      </c>
      <c r="E27" s="402" t="s">
        <v>338</v>
      </c>
    </row>
    <row r="28" spans="3:7" hidden="1" x14ac:dyDescent="0.25"/>
    <row r="29" spans="3:7" hidden="1" x14ac:dyDescent="0.25">
      <c r="C29" s="401" t="s">
        <v>346</v>
      </c>
      <c r="D29" s="402">
        <v>2</v>
      </c>
    </row>
    <row r="30" spans="3:7" hidden="1" x14ac:dyDescent="0.25"/>
    <row r="31" spans="3:7" hidden="1" x14ac:dyDescent="0.25"/>
    <row r="32" spans="3:7" hidden="1" x14ac:dyDescent="0.25"/>
    <row r="33" spans="2:13" hidden="1" x14ac:dyDescent="0.25">
      <c r="C33" s="401" t="s">
        <v>347</v>
      </c>
      <c r="D33" s="402">
        <f>50/66</f>
        <v>0.75757575757575757</v>
      </c>
      <c r="E33" s="402" t="s">
        <v>348</v>
      </c>
    </row>
    <row r="34" spans="2:13" hidden="1" x14ac:dyDescent="0.25">
      <c r="C34" s="401" t="s">
        <v>349</v>
      </c>
      <c r="D34" s="402">
        <f>D33*3</f>
        <v>2.2727272727272725</v>
      </c>
    </row>
    <row r="35" spans="2:13" hidden="1" x14ac:dyDescent="0.25">
      <c r="C35" s="401" t="s">
        <v>350</v>
      </c>
      <c r="D35" s="402">
        <f>D34*2</f>
        <v>4.545454545454545</v>
      </c>
    </row>
    <row r="36" spans="2:13" hidden="1" x14ac:dyDescent="0.25">
      <c r="C36" s="401" t="s">
        <v>351</v>
      </c>
      <c r="D36" s="402">
        <v>5</v>
      </c>
      <c r="E36" s="402" t="s">
        <v>348</v>
      </c>
    </row>
    <row r="37" spans="2:13" hidden="1" x14ac:dyDescent="0.25">
      <c r="C37" s="401" t="s">
        <v>352</v>
      </c>
      <c r="D37" s="402">
        <v>4</v>
      </c>
      <c r="E37" s="402" t="s">
        <v>348</v>
      </c>
    </row>
    <row r="38" spans="2:13" hidden="1" x14ac:dyDescent="0.25"/>
    <row r="39" spans="2:13" hidden="1" x14ac:dyDescent="0.25">
      <c r="C39" s="401" t="s">
        <v>353</v>
      </c>
      <c r="D39" s="402">
        <v>0.216</v>
      </c>
    </row>
    <row r="40" spans="2:13" hidden="1" x14ac:dyDescent="0.25">
      <c r="C40" s="401" t="s">
        <v>354</v>
      </c>
      <c r="D40" s="402">
        <f>D39*8</f>
        <v>1.728</v>
      </c>
    </row>
    <row r="41" spans="2:13" hidden="1" x14ac:dyDescent="0.25"/>
    <row r="42" spans="2:13" ht="15" thickBot="1" x14ac:dyDescent="0.3"/>
    <row r="43" spans="2:13" ht="24.75" customHeight="1" thickBot="1" x14ac:dyDescent="0.3">
      <c r="B43" s="740" t="s">
        <v>542</v>
      </c>
      <c r="C43" s="741"/>
      <c r="D43" s="741"/>
      <c r="E43" s="741"/>
      <c r="F43" s="741"/>
      <c r="G43" s="741"/>
      <c r="H43" s="741"/>
      <c r="I43" s="741"/>
      <c r="J43" s="742"/>
      <c r="M43" s="401" t="s">
        <v>356</v>
      </c>
    </row>
    <row r="44" spans="2:13" ht="52.5" customHeight="1" thickBot="1" x14ac:dyDescent="0.3">
      <c r="B44" s="743" t="s">
        <v>106</v>
      </c>
      <c r="C44" s="744"/>
      <c r="D44" s="411" t="s">
        <v>18</v>
      </c>
      <c r="E44" s="412" t="s">
        <v>357</v>
      </c>
      <c r="F44" s="412" t="s">
        <v>358</v>
      </c>
      <c r="G44" s="413" t="s">
        <v>294</v>
      </c>
      <c r="H44" s="414" t="s">
        <v>359</v>
      </c>
      <c r="I44" s="414" t="s">
        <v>360</v>
      </c>
      <c r="J44" s="415" t="s">
        <v>361</v>
      </c>
    </row>
    <row r="45" spans="2:13" x14ac:dyDescent="0.25">
      <c r="B45" s="416"/>
      <c r="C45" s="417"/>
      <c r="D45" s="418"/>
      <c r="E45" s="419"/>
      <c r="F45" s="419"/>
      <c r="G45" s="419"/>
      <c r="H45" s="420"/>
      <c r="I45" s="420"/>
      <c r="J45" s="421"/>
    </row>
    <row r="46" spans="2:13" ht="46.95" customHeight="1" x14ac:dyDescent="0.25">
      <c r="B46" s="502">
        <v>1.04</v>
      </c>
      <c r="C46" s="503" t="s">
        <v>478</v>
      </c>
      <c r="D46" s="504"/>
      <c r="E46" s="505"/>
      <c r="F46" s="505"/>
      <c r="G46" s="505"/>
      <c r="H46" s="506"/>
      <c r="I46" s="506"/>
      <c r="J46" s="507">
        <f>+J117</f>
        <v>0</v>
      </c>
    </row>
    <row r="47" spans="2:13" ht="36.6" hidden="1" customHeight="1" x14ac:dyDescent="0.25">
      <c r="B47" s="473">
        <f>+B46+0.0001</f>
        <v>1.0401</v>
      </c>
      <c r="C47" s="474" t="s">
        <v>279</v>
      </c>
      <c r="D47" s="469"/>
      <c r="E47" s="470"/>
      <c r="F47" s="470"/>
      <c r="G47" s="470"/>
      <c r="H47" s="471"/>
      <c r="I47" s="471"/>
      <c r="J47" s="472">
        <f>SUM(J48)</f>
        <v>0</v>
      </c>
    </row>
    <row r="48" spans="2:13" ht="51.6" hidden="1" customHeight="1" x14ac:dyDescent="0.25">
      <c r="B48" s="478"/>
      <c r="C48" s="479" t="s">
        <v>362</v>
      </c>
      <c r="D48" s="480" t="s">
        <v>363</v>
      </c>
      <c r="E48" s="481">
        <v>1</v>
      </c>
      <c r="F48" s="481"/>
      <c r="G48" s="481"/>
      <c r="H48" s="482"/>
      <c r="I48" s="482">
        <f>+I49+I50</f>
        <v>0</v>
      </c>
      <c r="J48" s="425">
        <f>ROUND(E48*I48,2)</f>
        <v>0</v>
      </c>
    </row>
    <row r="49" spans="1:15" ht="32.25" hidden="1" customHeight="1" x14ac:dyDescent="0.25">
      <c r="B49" s="490"/>
      <c r="C49" s="491" t="s">
        <v>364</v>
      </c>
      <c r="D49" s="486" t="s">
        <v>205</v>
      </c>
      <c r="E49" s="487"/>
      <c r="F49" s="487"/>
      <c r="G49" s="487">
        <v>0</v>
      </c>
      <c r="H49" s="488">
        <f>JornalMed</f>
        <v>444.44</v>
      </c>
      <c r="I49" s="488">
        <f>ROUND(G49*H49,2)</f>
        <v>0</v>
      </c>
      <c r="J49" s="432"/>
      <c r="L49" s="433"/>
    </row>
    <row r="50" spans="1:15" ht="38.4" hidden="1" customHeight="1" x14ac:dyDescent="0.25">
      <c r="B50" s="484"/>
      <c r="C50" s="491" t="s">
        <v>365</v>
      </c>
      <c r="D50" s="486" t="s">
        <v>366</v>
      </c>
      <c r="E50" s="487"/>
      <c r="F50" s="487"/>
      <c r="G50" s="487">
        <v>0</v>
      </c>
      <c r="H50" s="488">
        <f>JornalMed+E5</f>
        <v>638.88</v>
      </c>
      <c r="I50" s="488">
        <f>ROUND(G50*H50,2)</f>
        <v>0</v>
      </c>
      <c r="J50" s="432"/>
      <c r="L50" s="433" t="s">
        <v>367</v>
      </c>
    </row>
    <row r="51" spans="1:15" hidden="1" x14ac:dyDescent="0.25">
      <c r="B51" s="434"/>
      <c r="C51" s="431"/>
      <c r="D51" s="422"/>
      <c r="E51" s="423"/>
      <c r="F51" s="423"/>
      <c r="G51" s="423"/>
      <c r="H51" s="424"/>
      <c r="I51" s="424"/>
      <c r="J51" s="432"/>
      <c r="L51" s="433"/>
    </row>
    <row r="52" spans="1:15" ht="18" customHeight="1" x14ac:dyDescent="0.25">
      <c r="A52" s="401" t="s">
        <v>368</v>
      </c>
      <c r="B52" s="473">
        <f>+B47+0.0001</f>
        <v>1.0402</v>
      </c>
      <c r="C52" s="468" t="s">
        <v>281</v>
      </c>
      <c r="D52" s="469"/>
      <c r="E52" s="470"/>
      <c r="F52" s="470"/>
      <c r="G52" s="470"/>
      <c r="H52" s="471"/>
      <c r="I52" s="471"/>
      <c r="J52" s="472">
        <f>+J53</f>
        <v>0</v>
      </c>
      <c r="L52" s="435"/>
    </row>
    <row r="53" spans="1:15" ht="39" customHeight="1" x14ac:dyDescent="0.25">
      <c r="B53" s="426"/>
      <c r="C53" s="427" t="s">
        <v>369</v>
      </c>
      <c r="D53" s="428" t="s">
        <v>7</v>
      </c>
      <c r="E53" s="429">
        <v>1</v>
      </c>
      <c r="F53" s="429"/>
      <c r="G53" s="429"/>
      <c r="H53" s="430"/>
      <c r="I53" s="430">
        <f>+SUM(I54:I56)</f>
        <v>0</v>
      </c>
      <c r="J53" s="425">
        <f>ROUND(PRODUCT(E53:I53),2)</f>
        <v>0</v>
      </c>
      <c r="L53" s="435"/>
    </row>
    <row r="54" spans="1:15" ht="30" customHeight="1" x14ac:dyDescent="0.25">
      <c r="B54" s="484"/>
      <c r="C54" s="491" t="s">
        <v>370</v>
      </c>
      <c r="D54" s="486" t="s">
        <v>7</v>
      </c>
      <c r="E54" s="487"/>
      <c r="F54" s="487">
        <v>1</v>
      </c>
      <c r="G54" s="487">
        <v>0.5</v>
      </c>
      <c r="H54" s="644"/>
      <c r="I54" s="488">
        <f>ROUND(H54*G54*F54,2)</f>
        <v>0</v>
      </c>
      <c r="J54" s="432"/>
      <c r="L54" s="435"/>
    </row>
    <row r="55" spans="1:15" ht="27.6" x14ac:dyDescent="0.25">
      <c r="B55" s="484"/>
      <c r="C55" s="491" t="s">
        <v>371</v>
      </c>
      <c r="D55" s="486" t="s">
        <v>7</v>
      </c>
      <c r="E55" s="487"/>
      <c r="F55" s="487">
        <v>1</v>
      </c>
      <c r="G55" s="487">
        <f>D25</f>
        <v>25</v>
      </c>
      <c r="H55" s="644"/>
      <c r="I55" s="488">
        <f t="shared" ref="I55:I56" si="0">ROUND(H55*G55*F55,2)</f>
        <v>0</v>
      </c>
      <c r="J55" s="432"/>
      <c r="L55" s="435"/>
      <c r="O55" s="436" t="s">
        <v>372</v>
      </c>
    </row>
    <row r="56" spans="1:15" ht="27.6" x14ac:dyDescent="0.25">
      <c r="B56" s="484"/>
      <c r="C56" s="491" t="s">
        <v>373</v>
      </c>
      <c r="D56" s="486" t="s">
        <v>7</v>
      </c>
      <c r="E56" s="487"/>
      <c r="F56" s="487">
        <v>1</v>
      </c>
      <c r="G56" s="487">
        <f>+D27</f>
        <v>2</v>
      </c>
      <c r="H56" s="644"/>
      <c r="I56" s="488">
        <f t="shared" si="0"/>
        <v>0</v>
      </c>
      <c r="J56" s="432"/>
      <c r="L56" s="435"/>
      <c r="M56" s="401" t="s">
        <v>374</v>
      </c>
    </row>
    <row r="57" spans="1:15" x14ac:dyDescent="0.25">
      <c r="B57" s="434"/>
      <c r="C57" s="431"/>
      <c r="D57" s="422"/>
      <c r="E57" s="423"/>
      <c r="F57" s="423"/>
      <c r="G57" s="423"/>
      <c r="H57" s="644"/>
      <c r="I57" s="424"/>
      <c r="J57" s="432"/>
      <c r="L57" s="435"/>
    </row>
    <row r="58" spans="1:15" ht="35.25" customHeight="1" x14ac:dyDescent="0.25">
      <c r="A58" s="401" t="s">
        <v>375</v>
      </c>
      <c r="B58" s="473">
        <f>+B52+0.0001</f>
        <v>1.0403</v>
      </c>
      <c r="C58" s="468" t="s">
        <v>282</v>
      </c>
      <c r="D58" s="475"/>
      <c r="E58" s="476"/>
      <c r="F58" s="476"/>
      <c r="G58" s="476"/>
      <c r="H58" s="645"/>
      <c r="I58" s="477"/>
      <c r="J58" s="472">
        <f>+J59</f>
        <v>0</v>
      </c>
      <c r="L58" s="435"/>
    </row>
    <row r="59" spans="1:15" ht="31.2" customHeight="1" x14ac:dyDescent="0.25">
      <c r="B59" s="478"/>
      <c r="C59" s="500" t="s">
        <v>376</v>
      </c>
      <c r="D59" s="480" t="s">
        <v>363</v>
      </c>
      <c r="E59" s="481">
        <v>0</v>
      </c>
      <c r="F59" s="481"/>
      <c r="G59" s="481"/>
      <c r="H59" s="645"/>
      <c r="I59" s="482">
        <f>+SUM(I60:I62)</f>
        <v>0</v>
      </c>
      <c r="J59" s="483">
        <f>ROUND(PRODUCT(E59:I59),2)</f>
        <v>0</v>
      </c>
      <c r="L59" s="435"/>
    </row>
    <row r="60" spans="1:15" ht="21" customHeight="1" x14ac:dyDescent="0.25">
      <c r="B60" s="484"/>
      <c r="C60" s="491" t="s">
        <v>377</v>
      </c>
      <c r="D60" s="486" t="s">
        <v>378</v>
      </c>
      <c r="E60" s="487"/>
      <c r="F60" s="487"/>
      <c r="G60" s="487">
        <v>1</v>
      </c>
      <c r="H60" s="646"/>
      <c r="I60" s="488">
        <f>ROUND(G60*H60,2)</f>
        <v>0</v>
      </c>
      <c r="J60" s="489"/>
      <c r="L60" s="437" t="s">
        <v>379</v>
      </c>
      <c r="M60" s="437" t="s">
        <v>380</v>
      </c>
    </row>
    <row r="61" spans="1:15" ht="21" customHeight="1" x14ac:dyDescent="0.25">
      <c r="B61" s="484"/>
      <c r="C61" s="491" t="s">
        <v>381</v>
      </c>
      <c r="D61" s="486" t="s">
        <v>378</v>
      </c>
      <c r="E61" s="487"/>
      <c r="F61" s="487"/>
      <c r="G61" s="487">
        <v>1</v>
      </c>
      <c r="H61" s="646"/>
      <c r="I61" s="488">
        <f>ROUND(G61*H61,2)</f>
        <v>0</v>
      </c>
      <c r="J61" s="489"/>
      <c r="L61" s="437" t="s">
        <v>382</v>
      </c>
      <c r="M61" s="437" t="s">
        <v>383</v>
      </c>
    </row>
    <row r="62" spans="1:15" ht="27.6" x14ac:dyDescent="0.25">
      <c r="B62" s="434"/>
      <c r="C62" s="431" t="s">
        <v>384</v>
      </c>
      <c r="D62" s="422" t="s">
        <v>385</v>
      </c>
      <c r="E62" s="423"/>
      <c r="F62" s="423"/>
      <c r="G62" s="423"/>
      <c r="H62" s="644"/>
      <c r="I62" s="424">
        <f>H62</f>
        <v>0</v>
      </c>
      <c r="J62" s="432"/>
    </row>
    <row r="63" spans="1:15" x14ac:dyDescent="0.25">
      <c r="B63" s="434"/>
      <c r="C63" s="438"/>
      <c r="D63" s="422"/>
      <c r="E63" s="423"/>
      <c r="F63" s="423"/>
      <c r="G63" s="423"/>
      <c r="H63" s="644"/>
      <c r="I63" s="424"/>
      <c r="J63" s="432"/>
    </row>
    <row r="64" spans="1:15" ht="19.95" customHeight="1" x14ac:dyDescent="0.25">
      <c r="A64" s="401" t="s">
        <v>386</v>
      </c>
      <c r="B64" s="473">
        <f>+B58+0.0001</f>
        <v>1.0404</v>
      </c>
      <c r="C64" s="468" t="s">
        <v>283</v>
      </c>
      <c r="D64" s="475"/>
      <c r="E64" s="476"/>
      <c r="F64" s="476"/>
      <c r="G64" s="476"/>
      <c r="H64" s="645"/>
      <c r="I64" s="477"/>
      <c r="J64" s="472">
        <f>+J65</f>
        <v>0</v>
      </c>
      <c r="L64" s="435"/>
    </row>
    <row r="65" spans="1:22" ht="46.2" customHeight="1" x14ac:dyDescent="0.25">
      <c r="B65" s="478"/>
      <c r="C65" s="479" t="s">
        <v>387</v>
      </c>
      <c r="D65" s="480" t="s">
        <v>7</v>
      </c>
      <c r="E65" s="481">
        <v>1</v>
      </c>
      <c r="F65" s="481"/>
      <c r="G65" s="481"/>
      <c r="H65" s="645"/>
      <c r="I65" s="482">
        <f>+SUM(I66:I78)</f>
        <v>0</v>
      </c>
      <c r="J65" s="483">
        <f>ROUND(PRODUCT(E65:I65),2)</f>
        <v>0</v>
      </c>
      <c r="L65" s="435"/>
    </row>
    <row r="66" spans="1:22" ht="19.95" customHeight="1" x14ac:dyDescent="0.25">
      <c r="B66" s="484"/>
      <c r="C66" s="485" t="s">
        <v>388</v>
      </c>
      <c r="D66" s="486" t="s">
        <v>205</v>
      </c>
      <c r="E66" s="487"/>
      <c r="F66" s="487"/>
      <c r="G66" s="487">
        <f>+'Etapa RECEPCION'!N25</f>
        <v>0.02</v>
      </c>
      <c r="H66" s="647"/>
      <c r="I66" s="488">
        <f t="shared" ref="I66:I78" si="1">ROUND(H66*G66,2)</f>
        <v>0</v>
      </c>
      <c r="J66" s="489"/>
      <c r="L66" s="439" t="s">
        <v>389</v>
      </c>
      <c r="M66" s="401" t="s">
        <v>390</v>
      </c>
      <c r="N66" s="401">
        <v>14.2</v>
      </c>
      <c r="O66" s="401" t="s">
        <v>391</v>
      </c>
      <c r="P66" s="401" t="s">
        <v>392</v>
      </c>
      <c r="Q66" s="440">
        <f>14.2*3.785</f>
        <v>53.747</v>
      </c>
      <c r="U66" s="441"/>
      <c r="V66" s="441"/>
    </row>
    <row r="67" spans="1:22" ht="19.95" customHeight="1" x14ac:dyDescent="0.25">
      <c r="B67" s="484"/>
      <c r="C67" s="485" t="s">
        <v>393</v>
      </c>
      <c r="D67" s="486" t="s">
        <v>378</v>
      </c>
      <c r="E67" s="487"/>
      <c r="F67" s="487"/>
      <c r="G67" s="487">
        <f>+'Etapa RECEPCION'!O25</f>
        <v>0.01</v>
      </c>
      <c r="H67" s="647"/>
      <c r="I67" s="488">
        <f t="shared" si="1"/>
        <v>0</v>
      </c>
      <c r="J67" s="489"/>
      <c r="L67" s="439"/>
      <c r="U67" s="441"/>
      <c r="V67" s="441"/>
    </row>
    <row r="68" spans="1:22" ht="19.95" customHeight="1" x14ac:dyDescent="0.25">
      <c r="B68" s="484"/>
      <c r="C68" s="485" t="s">
        <v>394</v>
      </c>
      <c r="D68" s="486" t="s">
        <v>378</v>
      </c>
      <c r="E68" s="487"/>
      <c r="F68" s="487"/>
      <c r="G68" s="487">
        <f>+'Etapa RECEPCION'!P25</f>
        <v>0.03</v>
      </c>
      <c r="H68" s="647"/>
      <c r="I68" s="488">
        <f t="shared" si="1"/>
        <v>0</v>
      </c>
      <c r="J68" s="489"/>
      <c r="L68" s="439" t="s">
        <v>395</v>
      </c>
      <c r="M68" s="401" t="s">
        <v>396</v>
      </c>
      <c r="U68" s="441"/>
      <c r="V68" s="441"/>
    </row>
    <row r="69" spans="1:22" ht="19.95" customHeight="1" x14ac:dyDescent="0.25">
      <c r="B69" s="484"/>
      <c r="C69" s="485" t="s">
        <v>397</v>
      </c>
      <c r="D69" s="486" t="s">
        <v>378</v>
      </c>
      <c r="E69" s="487"/>
      <c r="F69" s="487"/>
      <c r="G69" s="487">
        <f>+'Etapa RECEPCION'!Q25</f>
        <v>0.67</v>
      </c>
      <c r="H69" s="647"/>
      <c r="I69" s="488">
        <f t="shared" si="1"/>
        <v>0</v>
      </c>
      <c r="J69" s="489"/>
      <c r="L69" s="439" t="s">
        <v>398</v>
      </c>
      <c r="M69" s="401" t="s">
        <v>396</v>
      </c>
      <c r="U69" s="441"/>
      <c r="V69" s="441"/>
    </row>
    <row r="70" spans="1:22" ht="19.95" customHeight="1" x14ac:dyDescent="0.25">
      <c r="B70" s="484"/>
      <c r="C70" s="485" t="s">
        <v>399</v>
      </c>
      <c r="D70" s="486" t="s">
        <v>378</v>
      </c>
      <c r="E70" s="487"/>
      <c r="F70" s="487"/>
      <c r="G70" s="487">
        <f>+'Etapa RECEPCION'!R25</f>
        <v>0.05</v>
      </c>
      <c r="H70" s="647"/>
      <c r="I70" s="488">
        <f t="shared" si="1"/>
        <v>0</v>
      </c>
      <c r="J70" s="489"/>
      <c r="L70" s="439"/>
      <c r="U70" s="441"/>
      <c r="V70" s="441"/>
    </row>
    <row r="71" spans="1:22" ht="28.2" customHeight="1" x14ac:dyDescent="0.25">
      <c r="B71" s="484"/>
      <c r="C71" s="485" t="s">
        <v>400</v>
      </c>
      <c r="D71" s="486" t="s">
        <v>205</v>
      </c>
      <c r="E71" s="487"/>
      <c r="F71" s="487"/>
      <c r="G71" s="487">
        <f>+'Etapa RECEPCION'!S25</f>
        <v>0.05</v>
      </c>
      <c r="H71" s="647"/>
      <c r="I71" s="488">
        <f t="shared" si="1"/>
        <v>0</v>
      </c>
      <c r="J71" s="489"/>
      <c r="L71" s="439"/>
      <c r="U71" s="441"/>
      <c r="V71" s="441"/>
    </row>
    <row r="72" spans="1:22" ht="19.95" customHeight="1" x14ac:dyDescent="0.25">
      <c r="B72" s="484"/>
      <c r="C72" s="485" t="s">
        <v>401</v>
      </c>
      <c r="D72" s="486" t="s">
        <v>378</v>
      </c>
      <c r="E72" s="487"/>
      <c r="F72" s="487"/>
      <c r="G72" s="487">
        <f>+'Etapa RECEPCION'!T25</f>
        <v>0.5</v>
      </c>
      <c r="H72" s="647"/>
      <c r="I72" s="488">
        <f t="shared" si="1"/>
        <v>0</v>
      </c>
      <c r="J72" s="489"/>
      <c r="L72" s="439" t="s">
        <v>402</v>
      </c>
      <c r="U72" s="441"/>
      <c r="V72" s="441"/>
    </row>
    <row r="73" spans="1:22" ht="19.95" customHeight="1" x14ac:dyDescent="0.25">
      <c r="B73" s="484"/>
      <c r="C73" s="485" t="s">
        <v>403</v>
      </c>
      <c r="D73" s="486" t="s">
        <v>378</v>
      </c>
      <c r="E73" s="487"/>
      <c r="F73" s="487"/>
      <c r="G73" s="487">
        <v>0</v>
      </c>
      <c r="H73" s="647"/>
      <c r="I73" s="488">
        <f t="shared" si="1"/>
        <v>0</v>
      </c>
      <c r="J73" s="489"/>
      <c r="L73" s="437" t="s">
        <v>404</v>
      </c>
      <c r="U73" s="441"/>
      <c r="V73" s="441"/>
    </row>
    <row r="74" spans="1:22" ht="19.95" customHeight="1" x14ac:dyDescent="0.25">
      <c r="B74" s="484"/>
      <c r="C74" s="485" t="s">
        <v>405</v>
      </c>
      <c r="D74" s="486" t="s">
        <v>378</v>
      </c>
      <c r="E74" s="487"/>
      <c r="F74" s="487"/>
      <c r="G74" s="487">
        <v>0</v>
      </c>
      <c r="H74" s="647"/>
      <c r="I74" s="488">
        <f t="shared" si="1"/>
        <v>0</v>
      </c>
      <c r="J74" s="489"/>
      <c r="L74" s="437" t="s">
        <v>406</v>
      </c>
      <c r="U74" s="441"/>
      <c r="V74" s="441"/>
    </row>
    <row r="75" spans="1:22" ht="19.95" customHeight="1" x14ac:dyDescent="0.25">
      <c r="B75" s="484"/>
      <c r="C75" s="485" t="s">
        <v>407</v>
      </c>
      <c r="D75" s="486" t="s">
        <v>378</v>
      </c>
      <c r="E75" s="487"/>
      <c r="F75" s="487"/>
      <c r="G75" s="487">
        <f>ROUND(PlazoDia/1,2)</f>
        <v>25</v>
      </c>
      <c r="H75" s="647"/>
      <c r="I75" s="488">
        <f t="shared" si="1"/>
        <v>0</v>
      </c>
      <c r="J75" s="489"/>
      <c r="L75" s="437"/>
      <c r="U75" s="441"/>
      <c r="V75" s="441"/>
    </row>
    <row r="76" spans="1:22" ht="19.95" customHeight="1" x14ac:dyDescent="0.25">
      <c r="B76" s="484"/>
      <c r="C76" s="485" t="s">
        <v>408</v>
      </c>
      <c r="D76" s="486" t="s">
        <v>378</v>
      </c>
      <c r="E76" s="487"/>
      <c r="F76" s="487"/>
      <c r="G76" s="487">
        <f>G75</f>
        <v>25</v>
      </c>
      <c r="H76" s="647"/>
      <c r="I76" s="488">
        <f t="shared" si="1"/>
        <v>0</v>
      </c>
      <c r="J76" s="489"/>
      <c r="L76" s="437"/>
      <c r="U76" s="441"/>
      <c r="V76" s="441"/>
    </row>
    <row r="77" spans="1:22" ht="27.6" x14ac:dyDescent="0.25">
      <c r="B77" s="484"/>
      <c r="C77" s="485" t="s">
        <v>409</v>
      </c>
      <c r="D77" s="486" t="s">
        <v>378</v>
      </c>
      <c r="E77" s="487"/>
      <c r="F77" s="487"/>
      <c r="G77" s="487">
        <f>ROUND(1/1,2)</f>
        <v>1</v>
      </c>
      <c r="H77" s="647"/>
      <c r="I77" s="488">
        <f t="shared" si="1"/>
        <v>0</v>
      </c>
      <c r="J77" s="489"/>
      <c r="L77" s="437" t="s">
        <v>410</v>
      </c>
      <c r="U77" s="441"/>
      <c r="V77" s="441"/>
    </row>
    <row r="78" spans="1:22" ht="21" customHeight="1" x14ac:dyDescent="0.25">
      <c r="B78" s="484"/>
      <c r="C78" s="485" t="s">
        <v>411</v>
      </c>
      <c r="D78" s="486" t="s">
        <v>412</v>
      </c>
      <c r="E78" s="487"/>
      <c r="F78" s="487"/>
      <c r="G78" s="487">
        <v>1</v>
      </c>
      <c r="H78" s="647"/>
      <c r="I78" s="488">
        <f t="shared" si="1"/>
        <v>0</v>
      </c>
      <c r="J78" s="489"/>
      <c r="L78" s="439" t="s">
        <v>413</v>
      </c>
      <c r="M78" s="401" t="s">
        <v>396</v>
      </c>
      <c r="U78" s="441"/>
      <c r="V78" s="441"/>
    </row>
    <row r="79" spans="1:22" x14ac:dyDescent="0.25">
      <c r="B79" s="484"/>
      <c r="C79" s="485"/>
      <c r="D79" s="486"/>
      <c r="E79" s="487"/>
      <c r="F79" s="487"/>
      <c r="G79" s="487"/>
      <c r="H79" s="647"/>
      <c r="I79" s="488"/>
      <c r="J79" s="489"/>
      <c r="L79" s="439"/>
      <c r="U79" s="441"/>
      <c r="V79" s="441"/>
    </row>
    <row r="80" spans="1:22" ht="28.95" customHeight="1" x14ac:dyDescent="0.25">
      <c r="A80" s="401" t="s">
        <v>414</v>
      </c>
      <c r="B80" s="473">
        <f>+B64+0.0001</f>
        <v>1.0405</v>
      </c>
      <c r="C80" s="501" t="s">
        <v>284</v>
      </c>
      <c r="D80" s="475"/>
      <c r="E80" s="476"/>
      <c r="F80" s="476"/>
      <c r="G80" s="476"/>
      <c r="H80" s="645"/>
      <c r="I80" s="477"/>
      <c r="J80" s="472">
        <f>+J81</f>
        <v>0</v>
      </c>
    </row>
    <row r="81" spans="1:18" ht="29.25" customHeight="1" x14ac:dyDescent="0.25">
      <c r="B81" s="478"/>
      <c r="C81" s="479" t="s">
        <v>415</v>
      </c>
      <c r="D81" s="480" t="s">
        <v>363</v>
      </c>
      <c r="E81" s="481">
        <v>1</v>
      </c>
      <c r="F81" s="481"/>
      <c r="G81" s="481"/>
      <c r="H81" s="645"/>
      <c r="I81" s="482">
        <f>+SUM(I82:I84)</f>
        <v>0</v>
      </c>
      <c r="J81" s="483">
        <f>ROUND(PRODUCT(E81:I81),2)</f>
        <v>0</v>
      </c>
    </row>
    <row r="82" spans="1:18" x14ac:dyDescent="0.25">
      <c r="B82" s="484"/>
      <c r="C82" s="491" t="s">
        <v>416</v>
      </c>
      <c r="D82" s="486" t="s">
        <v>205</v>
      </c>
      <c r="E82" s="487"/>
      <c r="F82" s="487"/>
      <c r="G82" s="487">
        <v>0.5</v>
      </c>
      <c r="H82" s="644"/>
      <c r="I82" s="488">
        <f t="shared" ref="I82:I84" si="2">ROUND(H82*G82,2)</f>
        <v>0</v>
      </c>
      <c r="J82" s="489"/>
      <c r="L82" s="442"/>
    </row>
    <row r="83" spans="1:18" x14ac:dyDescent="0.25">
      <c r="B83" s="484"/>
      <c r="C83" s="491" t="s">
        <v>417</v>
      </c>
      <c r="D83" s="486" t="s">
        <v>205</v>
      </c>
      <c r="E83" s="487"/>
      <c r="F83" s="487"/>
      <c r="G83" s="487">
        <f>G82</f>
        <v>0.5</v>
      </c>
      <c r="H83" s="644"/>
      <c r="I83" s="488">
        <f t="shared" si="2"/>
        <v>0</v>
      </c>
      <c r="J83" s="489"/>
    </row>
    <row r="84" spans="1:18" x14ac:dyDescent="0.25">
      <c r="B84" s="484"/>
      <c r="C84" s="485" t="s">
        <v>418</v>
      </c>
      <c r="D84" s="486" t="s">
        <v>378</v>
      </c>
      <c r="E84" s="487"/>
      <c r="F84" s="487"/>
      <c r="G84" s="487">
        <v>5</v>
      </c>
      <c r="H84" s="644"/>
      <c r="I84" s="488">
        <f t="shared" si="2"/>
        <v>0</v>
      </c>
      <c r="J84" s="489"/>
    </row>
    <row r="85" spans="1:18" x14ac:dyDescent="0.25">
      <c r="B85" s="484"/>
      <c r="C85" s="492"/>
      <c r="D85" s="486"/>
      <c r="E85" s="487"/>
      <c r="F85" s="487"/>
      <c r="G85" s="487"/>
      <c r="H85" s="644"/>
      <c r="I85" s="488"/>
      <c r="J85" s="489"/>
    </row>
    <row r="86" spans="1:18" x14ac:dyDescent="0.25">
      <c r="A86" s="401" t="s">
        <v>419</v>
      </c>
      <c r="B86" s="473">
        <f>+B80+0.0001</f>
        <v>1.0406</v>
      </c>
      <c r="C86" s="501" t="s">
        <v>285</v>
      </c>
      <c r="D86" s="475"/>
      <c r="E86" s="476"/>
      <c r="F86" s="476"/>
      <c r="G86" s="476"/>
      <c r="H86" s="645"/>
      <c r="I86" s="477"/>
      <c r="J86" s="472">
        <f>+J87</f>
        <v>0</v>
      </c>
    </row>
    <row r="87" spans="1:18" ht="31.2" customHeight="1" x14ac:dyDescent="0.25">
      <c r="B87" s="478"/>
      <c r="C87" s="479" t="s">
        <v>420</v>
      </c>
      <c r="D87" s="480" t="s">
        <v>363</v>
      </c>
      <c r="E87" s="481">
        <v>1</v>
      </c>
      <c r="F87" s="481"/>
      <c r="G87" s="481"/>
      <c r="H87" s="645"/>
      <c r="I87" s="482">
        <f>+SUM(I88:I91)</f>
        <v>0</v>
      </c>
      <c r="J87" s="483">
        <f>ROUND(PRODUCT(E87:I87),2)</f>
        <v>0</v>
      </c>
    </row>
    <row r="88" spans="1:18" ht="27.6" x14ac:dyDescent="0.25">
      <c r="B88" s="484"/>
      <c r="C88" s="491" t="s">
        <v>421</v>
      </c>
      <c r="D88" s="486" t="s">
        <v>7</v>
      </c>
      <c r="E88" s="487"/>
      <c r="F88" s="487"/>
      <c r="G88" s="487">
        <v>1</v>
      </c>
      <c r="H88" s="644"/>
      <c r="I88" s="488">
        <f t="shared" ref="I88:I91" si="3">ROUND(H88*G88,2)</f>
        <v>0</v>
      </c>
      <c r="J88" s="489"/>
      <c r="L88" s="435"/>
    </row>
    <row r="89" spans="1:18" x14ac:dyDescent="0.25">
      <c r="B89" s="484"/>
      <c r="C89" s="491" t="s">
        <v>422</v>
      </c>
      <c r="D89" s="486" t="s">
        <v>8</v>
      </c>
      <c r="E89" s="487"/>
      <c r="F89" s="487"/>
      <c r="G89" s="487">
        <v>1</v>
      </c>
      <c r="H89" s="644"/>
      <c r="I89" s="488">
        <f t="shared" si="3"/>
        <v>0</v>
      </c>
      <c r="J89" s="489"/>
      <c r="L89" s="435"/>
    </row>
    <row r="90" spans="1:18" x14ac:dyDescent="0.25">
      <c r="B90" s="484"/>
      <c r="C90" s="491" t="s">
        <v>423</v>
      </c>
      <c r="D90" s="486" t="s">
        <v>18</v>
      </c>
      <c r="E90" s="487"/>
      <c r="F90" s="487"/>
      <c r="G90" s="487">
        <v>1</v>
      </c>
      <c r="H90" s="644"/>
      <c r="I90" s="488">
        <f t="shared" si="3"/>
        <v>0</v>
      </c>
      <c r="J90" s="489"/>
      <c r="L90" s="435"/>
    </row>
    <row r="91" spans="1:18" x14ac:dyDescent="0.25">
      <c r="B91" s="484"/>
      <c r="C91" s="491" t="s">
        <v>424</v>
      </c>
      <c r="D91" s="486" t="s">
        <v>18</v>
      </c>
      <c r="E91" s="487"/>
      <c r="F91" s="487"/>
      <c r="G91" s="487">
        <v>1</v>
      </c>
      <c r="H91" s="644"/>
      <c r="I91" s="488">
        <f t="shared" si="3"/>
        <v>0</v>
      </c>
      <c r="J91" s="489"/>
      <c r="L91" s="435"/>
    </row>
    <row r="92" spans="1:18" x14ac:dyDescent="0.25">
      <c r="B92" s="484"/>
      <c r="C92" s="493"/>
      <c r="D92" s="486"/>
      <c r="E92" s="487"/>
      <c r="F92" s="487"/>
      <c r="G92" s="487"/>
      <c r="H92" s="644"/>
      <c r="I92" s="488"/>
      <c r="J92" s="489"/>
      <c r="L92" s="435"/>
    </row>
    <row r="93" spans="1:18" x14ac:dyDescent="0.25">
      <c r="A93" s="401" t="s">
        <v>425</v>
      </c>
      <c r="B93" s="473">
        <f>+B86+0.0001</f>
        <v>1.0407</v>
      </c>
      <c r="C93" s="468" t="s">
        <v>286</v>
      </c>
      <c r="D93" s="475"/>
      <c r="E93" s="476"/>
      <c r="F93" s="476"/>
      <c r="G93" s="476"/>
      <c r="H93" s="645"/>
      <c r="I93" s="477"/>
      <c r="J93" s="472">
        <f>+J94+J100</f>
        <v>0</v>
      </c>
      <c r="L93" s="435"/>
    </row>
    <row r="94" spans="1:18" ht="43.95" customHeight="1" x14ac:dyDescent="0.25">
      <c r="B94" s="478"/>
      <c r="C94" s="479" t="s">
        <v>426</v>
      </c>
      <c r="D94" s="480" t="s">
        <v>363</v>
      </c>
      <c r="E94" s="481">
        <v>1</v>
      </c>
      <c r="F94" s="481"/>
      <c r="G94" s="481"/>
      <c r="H94" s="645"/>
      <c r="I94" s="482">
        <f>+SUM(I95:I98)</f>
        <v>0</v>
      </c>
      <c r="J94" s="483">
        <f>+PRODUCT(E94:I94)</f>
        <v>0</v>
      </c>
      <c r="L94" s="435"/>
      <c r="P94" s="443" t="s">
        <v>427</v>
      </c>
    </row>
    <row r="95" spans="1:18" ht="19.95" customHeight="1" x14ac:dyDescent="0.25">
      <c r="B95" s="484"/>
      <c r="C95" s="491" t="s">
        <v>428</v>
      </c>
      <c r="D95" s="486" t="s">
        <v>18</v>
      </c>
      <c r="E95" s="487"/>
      <c r="F95" s="487"/>
      <c r="G95" s="487">
        <f>+'Etapa RECEPCION'!F26</f>
        <v>6</v>
      </c>
      <c r="H95" s="644"/>
      <c r="I95" s="488">
        <f t="shared" ref="I95:I98" si="4">ROUND(H95*G95,2)</f>
        <v>0</v>
      </c>
      <c r="J95" s="489"/>
      <c r="L95" s="437" t="s">
        <v>429</v>
      </c>
      <c r="M95" s="401" t="s">
        <v>396</v>
      </c>
      <c r="N95" s="443" t="s">
        <v>430</v>
      </c>
      <c r="O95" s="443">
        <v>0.76</v>
      </c>
      <c r="P95" s="443">
        <f>0.76*50</f>
        <v>38</v>
      </c>
      <c r="Q95" s="443" t="s">
        <v>431</v>
      </c>
      <c r="R95" s="443"/>
    </row>
    <row r="96" spans="1:18" ht="19.95" customHeight="1" x14ac:dyDescent="0.25">
      <c r="B96" s="484"/>
      <c r="C96" s="494" t="s">
        <v>432</v>
      </c>
      <c r="D96" s="495" t="s">
        <v>18</v>
      </c>
      <c r="E96" s="487"/>
      <c r="F96" s="487"/>
      <c r="G96" s="487">
        <f>+'Etapa RECEPCION'!G26</f>
        <v>6</v>
      </c>
      <c r="H96" s="644"/>
      <c r="I96" s="488">
        <f t="shared" si="4"/>
        <v>0</v>
      </c>
      <c r="J96" s="489"/>
      <c r="L96" s="437" t="s">
        <v>433</v>
      </c>
    </row>
    <row r="97" spans="1:19" ht="19.95" customHeight="1" x14ac:dyDescent="0.25">
      <c r="B97" s="484"/>
      <c r="C97" s="491" t="s">
        <v>434</v>
      </c>
      <c r="D97" s="486" t="s">
        <v>18</v>
      </c>
      <c r="E97" s="487"/>
      <c r="F97" s="487"/>
      <c r="G97" s="487">
        <f>+'Etapa RECEPCION'!I26</f>
        <v>6</v>
      </c>
      <c r="H97" s="644"/>
      <c r="I97" s="488">
        <f t="shared" si="4"/>
        <v>0</v>
      </c>
      <c r="J97" s="489"/>
      <c r="L97" s="437" t="s">
        <v>435</v>
      </c>
    </row>
    <row r="98" spans="1:19" ht="19.95" customHeight="1" x14ac:dyDescent="0.25">
      <c r="B98" s="484"/>
      <c r="C98" s="491" t="s">
        <v>436</v>
      </c>
      <c r="D98" s="486" t="s">
        <v>18</v>
      </c>
      <c r="E98" s="487"/>
      <c r="F98" s="487"/>
      <c r="G98" s="487">
        <f>+'Etapa RECEPCION'!J26</f>
        <v>6</v>
      </c>
      <c r="H98" s="644"/>
      <c r="I98" s="488">
        <f t="shared" si="4"/>
        <v>0</v>
      </c>
      <c r="J98" s="489"/>
      <c r="L98" s="437" t="s">
        <v>437</v>
      </c>
      <c r="M98" s="401" t="s">
        <v>438</v>
      </c>
    </row>
    <row r="99" spans="1:19" x14ac:dyDescent="0.25">
      <c r="B99" s="484"/>
      <c r="C99" s="491"/>
      <c r="D99" s="486"/>
      <c r="E99" s="487"/>
      <c r="F99" s="487"/>
      <c r="G99" s="487"/>
      <c r="H99" s="644"/>
      <c r="I99" s="488"/>
      <c r="J99" s="489"/>
      <c r="L99" s="435"/>
    </row>
    <row r="100" spans="1:19" ht="39.6" customHeight="1" x14ac:dyDescent="0.25">
      <c r="B100" s="478"/>
      <c r="C100" s="479" t="s">
        <v>439</v>
      </c>
      <c r="D100" s="480" t="s">
        <v>363</v>
      </c>
      <c r="E100" s="481">
        <v>1</v>
      </c>
      <c r="F100" s="481"/>
      <c r="G100" s="481"/>
      <c r="H100" s="645"/>
      <c r="I100" s="482">
        <f>+SUM(I101:I107)</f>
        <v>0</v>
      </c>
      <c r="J100" s="483">
        <f>+PRODUCT(E100:I100)</f>
        <v>0</v>
      </c>
      <c r="L100" s="435"/>
    </row>
    <row r="101" spans="1:19" ht="19.95" customHeight="1" x14ac:dyDescent="0.25">
      <c r="B101" s="484"/>
      <c r="C101" s="494" t="s">
        <v>440</v>
      </c>
      <c r="D101" s="486" t="s">
        <v>18</v>
      </c>
      <c r="E101" s="487"/>
      <c r="F101" s="487"/>
      <c r="G101" s="487">
        <f>+'Etapa RECEPCION'!H27</f>
        <v>2</v>
      </c>
      <c r="H101" s="644"/>
      <c r="I101" s="488">
        <f t="shared" ref="I101:I107" si="5">ROUND(H101*G101,2)</f>
        <v>0</v>
      </c>
      <c r="J101" s="489"/>
      <c r="L101" s="437" t="s">
        <v>441</v>
      </c>
      <c r="N101" s="401" t="s">
        <v>430</v>
      </c>
      <c r="O101" s="401">
        <v>4.9000000000000004</v>
      </c>
      <c r="P101" s="401">
        <f>4.9*50</f>
        <v>245.00000000000003</v>
      </c>
    </row>
    <row r="102" spans="1:19" ht="27.6" x14ac:dyDescent="0.25">
      <c r="B102" s="484"/>
      <c r="C102" s="494" t="s">
        <v>442</v>
      </c>
      <c r="D102" s="486" t="s">
        <v>18</v>
      </c>
      <c r="E102" s="496"/>
      <c r="F102" s="497"/>
      <c r="G102" s="497">
        <f>+'Etapa RECEPCION'!G27</f>
        <v>2</v>
      </c>
      <c r="H102" s="648"/>
      <c r="I102" s="488">
        <f t="shared" si="5"/>
        <v>0</v>
      </c>
      <c r="J102" s="489"/>
      <c r="L102" s="435"/>
    </row>
    <row r="103" spans="1:19" ht="19.95" customHeight="1" x14ac:dyDescent="0.25">
      <c r="B103" s="484"/>
      <c r="C103" s="494" t="s">
        <v>434</v>
      </c>
      <c r="D103" s="486" t="s">
        <v>18</v>
      </c>
      <c r="E103" s="487"/>
      <c r="F103" s="487"/>
      <c r="G103" s="487">
        <f>+'Etapa RECEPCION'!I27</f>
        <v>2</v>
      </c>
      <c r="H103" s="644"/>
      <c r="I103" s="488">
        <f t="shared" si="5"/>
        <v>0</v>
      </c>
      <c r="J103" s="489"/>
      <c r="L103" s="435"/>
      <c r="N103" s="444" t="s">
        <v>443</v>
      </c>
      <c r="O103" s="443"/>
      <c r="P103" s="443" t="s">
        <v>444</v>
      </c>
      <c r="Q103" s="443"/>
      <c r="R103" s="443"/>
      <c r="S103" s="443"/>
    </row>
    <row r="104" spans="1:19" ht="19.95" customHeight="1" x14ac:dyDescent="0.25">
      <c r="B104" s="484"/>
      <c r="C104" s="494" t="s">
        <v>436</v>
      </c>
      <c r="D104" s="486" t="s">
        <v>18</v>
      </c>
      <c r="E104" s="487"/>
      <c r="F104" s="487"/>
      <c r="G104" s="487">
        <f>+'Etapa RECEPCION'!J27</f>
        <v>1</v>
      </c>
      <c r="H104" s="644"/>
      <c r="I104" s="488">
        <f t="shared" si="5"/>
        <v>0</v>
      </c>
      <c r="J104" s="489"/>
      <c r="L104" s="435"/>
      <c r="N104" s="445">
        <f>55/50</f>
        <v>1.1000000000000001</v>
      </c>
      <c r="O104" s="445"/>
      <c r="P104" s="443" t="s">
        <v>445</v>
      </c>
      <c r="Q104" s="443"/>
      <c r="R104" s="443"/>
      <c r="S104" s="443"/>
    </row>
    <row r="105" spans="1:19" ht="19.95" customHeight="1" x14ac:dyDescent="0.25">
      <c r="B105" s="484"/>
      <c r="C105" s="494" t="s">
        <v>446</v>
      </c>
      <c r="D105" s="486" t="s">
        <v>18</v>
      </c>
      <c r="E105" s="487"/>
      <c r="F105" s="487"/>
      <c r="G105" s="487">
        <f>+'Etapa RECEPCION'!K27</f>
        <v>50</v>
      </c>
      <c r="H105" s="644"/>
      <c r="I105" s="488">
        <f t="shared" si="5"/>
        <v>0</v>
      </c>
      <c r="J105" s="489"/>
      <c r="L105" s="437" t="s">
        <v>447</v>
      </c>
      <c r="M105" s="401" t="s">
        <v>396</v>
      </c>
      <c r="N105" s="443">
        <f>53/50</f>
        <v>1.06</v>
      </c>
      <c r="O105" s="445"/>
      <c r="P105" s="443" t="s">
        <v>448</v>
      </c>
      <c r="Q105" s="443"/>
      <c r="R105" s="443"/>
      <c r="S105" s="443"/>
    </row>
    <row r="106" spans="1:19" ht="19.95" customHeight="1" x14ac:dyDescent="0.25">
      <c r="B106" s="484"/>
      <c r="C106" s="494" t="s">
        <v>449</v>
      </c>
      <c r="D106" s="486" t="s">
        <v>18</v>
      </c>
      <c r="E106" s="487"/>
      <c r="F106" s="487"/>
      <c r="G106" s="487">
        <f>+'Etapa RECEPCION'!L27</f>
        <v>12</v>
      </c>
      <c r="H106" s="644"/>
      <c r="I106" s="488">
        <f t="shared" si="5"/>
        <v>0</v>
      </c>
      <c r="J106" s="489"/>
      <c r="L106" s="435"/>
    </row>
    <row r="107" spans="1:19" ht="19.95" customHeight="1" x14ac:dyDescent="0.25">
      <c r="B107" s="484"/>
      <c r="C107" s="494" t="s">
        <v>450</v>
      </c>
      <c r="D107" s="486" t="s">
        <v>18</v>
      </c>
      <c r="E107" s="487"/>
      <c r="F107" s="487"/>
      <c r="G107" s="487">
        <f>+'Etapa RECEPCION'!M27</f>
        <v>8</v>
      </c>
      <c r="H107" s="644"/>
      <c r="I107" s="488">
        <f t="shared" si="5"/>
        <v>0</v>
      </c>
      <c r="J107" s="489"/>
      <c r="L107" s="446" t="s">
        <v>451</v>
      </c>
      <c r="M107" s="401" t="s">
        <v>396</v>
      </c>
    </row>
    <row r="108" spans="1:19" x14ac:dyDescent="0.25">
      <c r="B108" s="484"/>
      <c r="C108" s="498"/>
      <c r="D108" s="486"/>
      <c r="E108" s="487"/>
      <c r="F108" s="487"/>
      <c r="G108" s="487"/>
      <c r="H108" s="644"/>
      <c r="I108" s="488"/>
      <c r="J108" s="489"/>
      <c r="L108" s="435"/>
    </row>
    <row r="109" spans="1:19" ht="35.25" customHeight="1" x14ac:dyDescent="0.25">
      <c r="A109" s="401" t="s">
        <v>452</v>
      </c>
      <c r="B109" s="473">
        <f>+B93+0.0001</f>
        <v>1.0407999999999999</v>
      </c>
      <c r="C109" s="468" t="s">
        <v>287</v>
      </c>
      <c r="D109" s="475"/>
      <c r="E109" s="476"/>
      <c r="F109" s="476"/>
      <c r="G109" s="476"/>
      <c r="H109" s="645"/>
      <c r="I109" s="477"/>
      <c r="J109" s="472">
        <f>+J110+J114</f>
        <v>0</v>
      </c>
    </row>
    <row r="110" spans="1:19" ht="27.6" x14ac:dyDescent="0.25">
      <c r="B110" s="478"/>
      <c r="C110" s="479" t="s">
        <v>453</v>
      </c>
      <c r="D110" s="480" t="s">
        <v>7</v>
      </c>
      <c r="E110" s="481">
        <v>1</v>
      </c>
      <c r="F110" s="481"/>
      <c r="G110" s="481"/>
      <c r="H110" s="645"/>
      <c r="I110" s="482">
        <f>+SUM(I111:I113)</f>
        <v>0</v>
      </c>
      <c r="J110" s="483">
        <f>+E110*I110</f>
        <v>0</v>
      </c>
      <c r="L110" s="435"/>
    </row>
    <row r="111" spans="1:19" ht="23.4" customHeight="1" x14ac:dyDescent="0.25">
      <c r="B111" s="484"/>
      <c r="C111" s="491" t="s">
        <v>454</v>
      </c>
      <c r="D111" s="499" t="s">
        <v>455</v>
      </c>
      <c r="E111" s="487"/>
      <c r="F111" s="487"/>
      <c r="G111" s="487"/>
      <c r="H111" s="644"/>
      <c r="I111" s="488"/>
      <c r="J111" s="489"/>
    </row>
    <row r="112" spans="1:19" ht="26.4" customHeight="1" x14ac:dyDescent="0.25">
      <c r="B112" s="484"/>
      <c r="C112" s="491" t="s">
        <v>456</v>
      </c>
      <c r="D112" s="499" t="s">
        <v>455</v>
      </c>
      <c r="E112" s="487"/>
      <c r="F112" s="487"/>
      <c r="G112" s="487"/>
      <c r="H112" s="644"/>
      <c r="I112" s="488"/>
      <c r="J112" s="489"/>
    </row>
    <row r="113" spans="2:12" ht="30.6" customHeight="1" x14ac:dyDescent="0.25">
      <c r="B113" s="484"/>
      <c r="C113" s="491" t="s">
        <v>457</v>
      </c>
      <c r="D113" s="486" t="s">
        <v>7</v>
      </c>
      <c r="E113" s="487"/>
      <c r="F113" s="487">
        <v>1</v>
      </c>
      <c r="G113" s="487">
        <v>1</v>
      </c>
      <c r="H113" s="644"/>
      <c r="I113" s="488">
        <f>ROUND(G113*H113*F113,2)</f>
        <v>0</v>
      </c>
      <c r="J113" s="489"/>
    </row>
    <row r="114" spans="2:12" ht="27.6" customHeight="1" x14ac:dyDescent="0.25">
      <c r="B114" s="478"/>
      <c r="C114" s="479" t="s">
        <v>458</v>
      </c>
      <c r="D114" s="480" t="s">
        <v>205</v>
      </c>
      <c r="E114" s="481">
        <v>1</v>
      </c>
      <c r="F114" s="481"/>
      <c r="G114" s="481"/>
      <c r="H114" s="645"/>
      <c r="I114" s="482">
        <f>+I115</f>
        <v>0</v>
      </c>
      <c r="J114" s="483">
        <f>+E114*I114</f>
        <v>0</v>
      </c>
    </row>
    <row r="115" spans="2:12" ht="19.95" customHeight="1" x14ac:dyDescent="0.25">
      <c r="B115" s="484"/>
      <c r="C115" s="491" t="s">
        <v>459</v>
      </c>
      <c r="D115" s="486" t="s">
        <v>378</v>
      </c>
      <c r="E115" s="487"/>
      <c r="F115" s="487"/>
      <c r="G115" s="487">
        <v>1</v>
      </c>
      <c r="H115" s="644"/>
      <c r="I115" s="488">
        <f>ROUND(G115*H115,2)</f>
        <v>0</v>
      </c>
      <c r="J115" s="489"/>
      <c r="L115" s="437" t="s">
        <v>460</v>
      </c>
    </row>
    <row r="116" spans="2:12" x14ac:dyDescent="0.25">
      <c r="B116" s="434"/>
      <c r="C116" s="447"/>
      <c r="D116" s="448"/>
      <c r="E116" s="449"/>
      <c r="F116" s="449"/>
      <c r="G116" s="449"/>
      <c r="H116" s="649"/>
      <c r="I116" s="450"/>
      <c r="J116" s="432"/>
    </row>
    <row r="117" spans="2:12" ht="22.95" customHeight="1" x14ac:dyDescent="0.25">
      <c r="B117" s="467"/>
      <c r="C117" s="468" t="s">
        <v>461</v>
      </c>
      <c r="D117" s="469"/>
      <c r="E117" s="470"/>
      <c r="F117" s="470"/>
      <c r="G117" s="470"/>
      <c r="H117" s="471"/>
      <c r="I117" s="471"/>
      <c r="J117" s="472">
        <f>+J47+J52+J58+J64+J80+J86+J93+J109</f>
        <v>0</v>
      </c>
      <c r="K117" s="451"/>
    </row>
    <row r="118" spans="2:12" ht="15" thickBot="1" x14ac:dyDescent="0.3">
      <c r="B118" s="452"/>
      <c r="C118" s="453"/>
      <c r="D118" s="454"/>
      <c r="E118" s="455"/>
      <c r="F118" s="455"/>
      <c r="G118" s="455"/>
      <c r="H118" s="456"/>
      <c r="I118" s="456"/>
      <c r="J118" s="457"/>
    </row>
    <row r="119" spans="2:12" x14ac:dyDescent="0.25">
      <c r="B119" s="458"/>
      <c r="C119" s="458"/>
      <c r="D119" s="459"/>
      <c r="E119" s="460"/>
      <c r="F119" s="460"/>
      <c r="G119" s="460"/>
      <c r="H119" s="461"/>
      <c r="I119" s="462"/>
      <c r="J119" s="463"/>
      <c r="K119" s="464"/>
    </row>
    <row r="120" spans="2:12" x14ac:dyDescent="0.25">
      <c r="B120" s="458"/>
      <c r="C120" s="458"/>
      <c r="D120" s="460"/>
      <c r="E120" s="460"/>
      <c r="F120" s="460"/>
      <c r="G120" s="460"/>
      <c r="H120" s="462"/>
    </row>
    <row r="121" spans="2:12" x14ac:dyDescent="0.25">
      <c r="B121" s="458"/>
      <c r="C121" s="458"/>
      <c r="D121" s="460"/>
      <c r="E121" s="460"/>
      <c r="F121" s="460"/>
      <c r="G121" s="460"/>
      <c r="H121" s="462"/>
      <c r="J121" s="465"/>
    </row>
    <row r="124" spans="2:12" x14ac:dyDescent="0.25">
      <c r="C124" s="466"/>
    </row>
    <row r="125" spans="2:12" x14ac:dyDescent="0.25">
      <c r="C125" s="466"/>
    </row>
  </sheetData>
  <mergeCells count="2">
    <mergeCell ref="B43:J43"/>
    <mergeCell ref="B44:C44"/>
  </mergeCells>
  <hyperlinks>
    <hyperlink ref="O55" r:id="rId1" display="http://www.exitmaxsac.com/"/>
  </hyperlinks>
  <pageMargins left="0.70866141732283472" right="0.70866141732283472" top="0.74803149606299213" bottom="0.74803149606299213" header="0.31496062992125984" footer="0.31496062992125984"/>
  <pageSetup scale="70" orientation="landscape" r:id="rId2"/>
  <rowBreaks count="3" manualBreakCount="3">
    <brk id="72" max="10" man="1"/>
    <brk id="85" max="10" man="1"/>
    <brk id="9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25"/>
  <sheetViews>
    <sheetView topLeftCell="A100" zoomScale="80" zoomScaleNormal="80" workbookViewId="0">
      <selection activeCell="J117" sqref="J117"/>
    </sheetView>
  </sheetViews>
  <sheetFormatPr baseColWidth="10" defaultColWidth="11.44140625" defaultRowHeight="14.4" x14ac:dyDescent="0.25"/>
  <cols>
    <col min="1" max="1" width="1.6640625" style="401" customWidth="1"/>
    <col min="2" max="2" width="13.33203125" style="401" customWidth="1"/>
    <col min="3" max="3" width="81" style="401" customWidth="1"/>
    <col min="4" max="4" width="11.33203125" style="402" customWidth="1"/>
    <col min="5" max="5" width="9.88671875" style="402" customWidth="1"/>
    <col min="6" max="6" width="13.6640625" style="402" customWidth="1"/>
    <col min="7" max="7" width="9.109375" style="402" customWidth="1"/>
    <col min="8" max="8" width="10.109375" style="403" customWidth="1"/>
    <col min="9" max="9" width="14.109375" style="403" bestFit="1" customWidth="1"/>
    <col min="10" max="10" width="12.33203125" style="403" customWidth="1"/>
    <col min="11" max="11" width="1.6640625" style="401" customWidth="1"/>
    <col min="12" max="12" width="13.33203125" style="401" hidden="1" customWidth="1"/>
    <col min="13" max="13" width="13.6640625" style="401" hidden="1" customWidth="1"/>
    <col min="14" max="23" width="11.44140625" style="401" hidden="1" customWidth="1"/>
    <col min="24" max="16384" width="11.44140625" style="401"/>
  </cols>
  <sheetData>
    <row r="1" spans="3:9" hidden="1" x14ac:dyDescent="0.25"/>
    <row r="2" spans="3:9" hidden="1" x14ac:dyDescent="0.25"/>
    <row r="3" spans="3:9" hidden="1" x14ac:dyDescent="0.25">
      <c r="D3" s="402" t="s">
        <v>323</v>
      </c>
      <c r="E3" s="402" t="s">
        <v>324</v>
      </c>
    </row>
    <row r="4" spans="3:9" hidden="1" x14ac:dyDescent="0.25">
      <c r="C4" s="401" t="s">
        <v>325</v>
      </c>
      <c r="D4" s="404">
        <v>10666.67</v>
      </c>
      <c r="E4" s="405">
        <f>ROUND(D4/24,2)</f>
        <v>444.44</v>
      </c>
    </row>
    <row r="5" spans="3:9" hidden="1" x14ac:dyDescent="0.25">
      <c r="C5" s="401" t="s">
        <v>326</v>
      </c>
      <c r="D5" s="404">
        <v>4666.67</v>
      </c>
      <c r="E5" s="405">
        <f>ROUND(D5/24,2)</f>
        <v>194.44</v>
      </c>
    </row>
    <row r="6" spans="3:9" hidden="1" x14ac:dyDescent="0.25">
      <c r="C6" s="401" t="s">
        <v>327</v>
      </c>
      <c r="D6" s="404">
        <v>10407</v>
      </c>
      <c r="E6" s="405">
        <f>ROUND(D6/24,2)</f>
        <v>433.63</v>
      </c>
    </row>
    <row r="7" spans="3:9" hidden="1" x14ac:dyDescent="0.25">
      <c r="C7" s="401" t="s">
        <v>328</v>
      </c>
      <c r="D7" s="404"/>
      <c r="E7" s="405"/>
    </row>
    <row r="8" spans="3:9" hidden="1" x14ac:dyDescent="0.25">
      <c r="C8" s="401" t="s">
        <v>329</v>
      </c>
      <c r="D8" s="404"/>
    </row>
    <row r="9" spans="3:9" hidden="1" x14ac:dyDescent="0.25">
      <c r="C9" s="406"/>
      <c r="D9" s="407"/>
      <c r="I9" s="403" t="s">
        <v>330</v>
      </c>
    </row>
    <row r="10" spans="3:9" hidden="1" x14ac:dyDescent="0.25">
      <c r="C10" s="406"/>
      <c r="D10" s="407">
        <v>1</v>
      </c>
      <c r="E10" s="402" t="s">
        <v>331</v>
      </c>
    </row>
    <row r="11" spans="3:9" hidden="1" x14ac:dyDescent="0.25">
      <c r="C11" s="406"/>
      <c r="D11" s="407"/>
    </row>
    <row r="12" spans="3:9" ht="31.5" hidden="1" customHeight="1" x14ac:dyDescent="0.25">
      <c r="C12" s="408"/>
      <c r="D12" s="407"/>
    </row>
    <row r="13" spans="3:9" hidden="1" x14ac:dyDescent="0.25">
      <c r="C13" s="409" t="s">
        <v>332</v>
      </c>
      <c r="D13" s="410">
        <f>+'Etapa LIQUIDACION'!C19</f>
        <v>4</v>
      </c>
      <c r="F13" s="402" t="s">
        <v>333</v>
      </c>
    </row>
    <row r="14" spans="3:9" hidden="1" x14ac:dyDescent="0.25">
      <c r="C14" s="401" t="s">
        <v>334</v>
      </c>
      <c r="F14" s="402" t="s">
        <v>322</v>
      </c>
    </row>
    <row r="15" spans="3:9" hidden="1" x14ac:dyDescent="0.25">
      <c r="C15" s="401" t="s">
        <v>335</v>
      </c>
      <c r="D15" s="402">
        <v>3</v>
      </c>
    </row>
    <row r="16" spans="3:9" hidden="1" x14ac:dyDescent="0.25">
      <c r="C16" s="401" t="s">
        <v>336</v>
      </c>
      <c r="D16" s="402">
        <f>PlazoMes*25</f>
        <v>75</v>
      </c>
    </row>
    <row r="17" spans="3:7" hidden="1" x14ac:dyDescent="0.25">
      <c r="C17" s="401" t="s">
        <v>337</v>
      </c>
      <c r="D17" s="402">
        <v>1</v>
      </c>
      <c r="F17" s="402">
        <v>100</v>
      </c>
      <c r="G17" s="402" t="s">
        <v>338</v>
      </c>
    </row>
    <row r="18" spans="3:7" hidden="1" x14ac:dyDescent="0.25">
      <c r="C18" s="401" t="s">
        <v>339</v>
      </c>
    </row>
    <row r="19" spans="3:7" hidden="1" x14ac:dyDescent="0.25"/>
    <row r="20" spans="3:7" hidden="1" x14ac:dyDescent="0.25">
      <c r="C20" s="401" t="s">
        <v>340</v>
      </c>
      <c r="E20" s="402" t="s">
        <v>338</v>
      </c>
    </row>
    <row r="21" spans="3:7" hidden="1" x14ac:dyDescent="0.25">
      <c r="C21" s="401" t="s">
        <v>341</v>
      </c>
    </row>
    <row r="22" spans="3:7" hidden="1" x14ac:dyDescent="0.25">
      <c r="C22" s="401" t="s">
        <v>342</v>
      </c>
    </row>
    <row r="23" spans="3:7" hidden="1" x14ac:dyDescent="0.25">
      <c r="C23" s="401" t="s">
        <v>343</v>
      </c>
    </row>
    <row r="24" spans="3:7" hidden="1" x14ac:dyDescent="0.25">
      <c r="C24" s="401" t="s">
        <v>344</v>
      </c>
    </row>
    <row r="25" spans="3:7" ht="17.25" hidden="1" customHeight="1" x14ac:dyDescent="0.25">
      <c r="C25" s="401" t="s">
        <v>462</v>
      </c>
      <c r="D25" s="402">
        <v>25</v>
      </c>
      <c r="E25" s="402" t="s">
        <v>338</v>
      </c>
    </row>
    <row r="26" spans="3:7" hidden="1" x14ac:dyDescent="0.25"/>
    <row r="27" spans="3:7" hidden="1" x14ac:dyDescent="0.25">
      <c r="C27" s="401" t="s">
        <v>345</v>
      </c>
      <c r="D27" s="402">
        <f>1*D29</f>
        <v>1</v>
      </c>
      <c r="E27" s="402" t="s">
        <v>338</v>
      </c>
    </row>
    <row r="28" spans="3:7" hidden="1" x14ac:dyDescent="0.25"/>
    <row r="29" spans="3:7" hidden="1" x14ac:dyDescent="0.25">
      <c r="C29" s="401" t="s">
        <v>346</v>
      </c>
      <c r="D29" s="402">
        <v>1</v>
      </c>
    </row>
    <row r="30" spans="3:7" hidden="1" x14ac:dyDescent="0.25"/>
    <row r="31" spans="3:7" hidden="1" x14ac:dyDescent="0.25"/>
    <row r="32" spans="3:7" hidden="1" x14ac:dyDescent="0.25"/>
    <row r="33" spans="2:13" hidden="1" x14ac:dyDescent="0.25">
      <c r="C33" s="401" t="s">
        <v>347</v>
      </c>
      <c r="D33" s="402">
        <f>50/66</f>
        <v>0.75757575757575757</v>
      </c>
      <c r="E33" s="402" t="s">
        <v>348</v>
      </c>
    </row>
    <row r="34" spans="2:13" hidden="1" x14ac:dyDescent="0.25">
      <c r="C34" s="401" t="s">
        <v>349</v>
      </c>
      <c r="D34" s="402">
        <f>D33*3</f>
        <v>2.2727272727272725</v>
      </c>
    </row>
    <row r="35" spans="2:13" hidden="1" x14ac:dyDescent="0.25">
      <c r="C35" s="401" t="s">
        <v>350</v>
      </c>
      <c r="D35" s="402">
        <f>D34*2</f>
        <v>4.545454545454545</v>
      </c>
    </row>
    <row r="36" spans="2:13" hidden="1" x14ac:dyDescent="0.25">
      <c r="C36" s="401" t="s">
        <v>351</v>
      </c>
      <c r="D36" s="402">
        <v>5</v>
      </c>
      <c r="E36" s="402" t="s">
        <v>348</v>
      </c>
    </row>
    <row r="37" spans="2:13" hidden="1" x14ac:dyDescent="0.25">
      <c r="C37" s="401" t="s">
        <v>352</v>
      </c>
      <c r="D37" s="402">
        <v>4</v>
      </c>
      <c r="E37" s="402" t="s">
        <v>348</v>
      </c>
    </row>
    <row r="38" spans="2:13" hidden="1" x14ac:dyDescent="0.25"/>
    <row r="39" spans="2:13" hidden="1" x14ac:dyDescent="0.25">
      <c r="C39" s="401" t="s">
        <v>353</v>
      </c>
      <c r="D39" s="402">
        <v>0.216</v>
      </c>
    </row>
    <row r="40" spans="2:13" hidden="1" x14ac:dyDescent="0.25">
      <c r="C40" s="401" t="s">
        <v>354</v>
      </c>
      <c r="D40" s="402">
        <f>D39*8</f>
        <v>1.728</v>
      </c>
    </row>
    <row r="41" spans="2:13" hidden="1" x14ac:dyDescent="0.25"/>
    <row r="42" spans="2:13" ht="15" thickBot="1" x14ac:dyDescent="0.3"/>
    <row r="43" spans="2:13" ht="24.75" customHeight="1" thickBot="1" x14ac:dyDescent="0.3">
      <c r="B43" s="740" t="s">
        <v>543</v>
      </c>
      <c r="C43" s="741"/>
      <c r="D43" s="741"/>
      <c r="E43" s="741"/>
      <c r="F43" s="741"/>
      <c r="G43" s="741"/>
      <c r="H43" s="741"/>
      <c r="I43" s="741"/>
      <c r="J43" s="742"/>
      <c r="M43" s="401" t="s">
        <v>356</v>
      </c>
    </row>
    <row r="44" spans="2:13" ht="52.5" customHeight="1" thickBot="1" x14ac:dyDescent="0.3">
      <c r="B44" s="743" t="s">
        <v>106</v>
      </c>
      <c r="C44" s="744"/>
      <c r="D44" s="411" t="s">
        <v>18</v>
      </c>
      <c r="E44" s="412" t="s">
        <v>357</v>
      </c>
      <c r="F44" s="412" t="s">
        <v>358</v>
      </c>
      <c r="G44" s="413" t="s">
        <v>294</v>
      </c>
      <c r="H44" s="414" t="s">
        <v>359</v>
      </c>
      <c r="I44" s="414" t="s">
        <v>360</v>
      </c>
      <c r="J44" s="415" t="s">
        <v>361</v>
      </c>
    </row>
    <row r="45" spans="2:13" x14ac:dyDescent="0.25">
      <c r="B45" s="416"/>
      <c r="C45" s="417"/>
      <c r="D45" s="418"/>
      <c r="E45" s="419"/>
      <c r="F45" s="419"/>
      <c r="G45" s="419"/>
      <c r="H45" s="420"/>
      <c r="I45" s="420"/>
      <c r="J45" s="421"/>
    </row>
    <row r="46" spans="2:13" ht="46.95" customHeight="1" x14ac:dyDescent="0.25">
      <c r="B46" s="502">
        <v>1.04</v>
      </c>
      <c r="C46" s="503" t="s">
        <v>478</v>
      </c>
      <c r="D46" s="504"/>
      <c r="E46" s="505"/>
      <c r="F46" s="505"/>
      <c r="G46" s="505"/>
      <c r="H46" s="506"/>
      <c r="I46" s="506"/>
      <c r="J46" s="507">
        <f>+J117</f>
        <v>0</v>
      </c>
    </row>
    <row r="47" spans="2:13" ht="36.6" hidden="1" customHeight="1" x14ac:dyDescent="0.25">
      <c r="B47" s="473">
        <f>+B46+0.0001</f>
        <v>1.0401</v>
      </c>
      <c r="C47" s="474" t="s">
        <v>279</v>
      </c>
      <c r="D47" s="469"/>
      <c r="E47" s="470"/>
      <c r="F47" s="470"/>
      <c r="G47" s="470"/>
      <c r="H47" s="471"/>
      <c r="I47" s="471"/>
      <c r="J47" s="472">
        <f>SUM(J48)</f>
        <v>0</v>
      </c>
    </row>
    <row r="48" spans="2:13" ht="51.6" hidden="1" customHeight="1" x14ac:dyDescent="0.25">
      <c r="B48" s="478"/>
      <c r="C48" s="479" t="s">
        <v>362</v>
      </c>
      <c r="D48" s="480" t="s">
        <v>363</v>
      </c>
      <c r="E48" s="481">
        <v>1</v>
      </c>
      <c r="F48" s="481"/>
      <c r="G48" s="481"/>
      <c r="H48" s="482"/>
      <c r="I48" s="482">
        <f>+I49+I50</f>
        <v>0</v>
      </c>
      <c r="J48" s="425">
        <f>ROUND(E48*I48,2)</f>
        <v>0</v>
      </c>
    </row>
    <row r="49" spans="1:15" ht="32.25" hidden="1" customHeight="1" x14ac:dyDescent="0.25">
      <c r="B49" s="490"/>
      <c r="C49" s="491" t="s">
        <v>364</v>
      </c>
      <c r="D49" s="486" t="s">
        <v>205</v>
      </c>
      <c r="E49" s="487"/>
      <c r="F49" s="487"/>
      <c r="G49" s="487">
        <v>0</v>
      </c>
      <c r="H49" s="488">
        <f>JornalMed</f>
        <v>444.44</v>
      </c>
      <c r="I49" s="488">
        <f>ROUND(G49*H49,2)</f>
        <v>0</v>
      </c>
      <c r="J49" s="432"/>
      <c r="L49" s="433"/>
    </row>
    <row r="50" spans="1:15" ht="38.4" hidden="1" customHeight="1" x14ac:dyDescent="0.25">
      <c r="B50" s="484"/>
      <c r="C50" s="491" t="s">
        <v>365</v>
      </c>
      <c r="D50" s="486" t="s">
        <v>366</v>
      </c>
      <c r="E50" s="487"/>
      <c r="F50" s="487"/>
      <c r="G50" s="487">
        <v>0</v>
      </c>
      <c r="H50" s="488">
        <f>JornalMed+E5</f>
        <v>638.88</v>
      </c>
      <c r="I50" s="488">
        <f>ROUND(G50*H50,2)</f>
        <v>0</v>
      </c>
      <c r="J50" s="432"/>
      <c r="L50" s="433" t="s">
        <v>367</v>
      </c>
    </row>
    <row r="51" spans="1:15" hidden="1" x14ac:dyDescent="0.25">
      <c r="B51" s="434"/>
      <c r="C51" s="431"/>
      <c r="D51" s="422"/>
      <c r="E51" s="423"/>
      <c r="F51" s="423"/>
      <c r="G51" s="423"/>
      <c r="H51" s="424"/>
      <c r="I51" s="424"/>
      <c r="J51" s="432"/>
      <c r="L51" s="433"/>
    </row>
    <row r="52" spans="1:15" ht="18" customHeight="1" x14ac:dyDescent="0.25">
      <c r="A52" s="401" t="s">
        <v>368</v>
      </c>
      <c r="B52" s="473">
        <f>+B47+0.0001</f>
        <v>1.0402</v>
      </c>
      <c r="C52" s="468" t="s">
        <v>281</v>
      </c>
      <c r="D52" s="469"/>
      <c r="E52" s="470"/>
      <c r="F52" s="470"/>
      <c r="G52" s="470"/>
      <c r="H52" s="471"/>
      <c r="I52" s="471"/>
      <c r="J52" s="472">
        <f>+J53</f>
        <v>0</v>
      </c>
      <c r="L52" s="435"/>
    </row>
    <row r="53" spans="1:15" ht="39" customHeight="1" x14ac:dyDescent="0.25">
      <c r="B53" s="426"/>
      <c r="C53" s="427" t="s">
        <v>369</v>
      </c>
      <c r="D53" s="428" t="s">
        <v>7</v>
      </c>
      <c r="E53" s="429">
        <v>3</v>
      </c>
      <c r="F53" s="429"/>
      <c r="G53" s="429"/>
      <c r="H53" s="430"/>
      <c r="I53" s="430">
        <f>+SUM(I54:I56)</f>
        <v>0</v>
      </c>
      <c r="J53" s="425">
        <f>ROUND(PRODUCT(E53:I53),2)</f>
        <v>0</v>
      </c>
      <c r="L53" s="435"/>
    </row>
    <row r="54" spans="1:15" ht="30" customHeight="1" x14ac:dyDescent="0.25">
      <c r="B54" s="484"/>
      <c r="C54" s="491" t="s">
        <v>370</v>
      </c>
      <c r="D54" s="486" t="s">
        <v>7</v>
      </c>
      <c r="E54" s="487"/>
      <c r="F54" s="487">
        <v>0.5</v>
      </c>
      <c r="G54" s="487">
        <v>0.5</v>
      </c>
      <c r="H54" s="644"/>
      <c r="I54" s="488">
        <f>ROUND(H54*G54*F54,2)</f>
        <v>0</v>
      </c>
      <c r="J54" s="432"/>
      <c r="L54" s="435"/>
    </row>
    <row r="55" spans="1:15" ht="27.6" x14ac:dyDescent="0.25">
      <c r="B55" s="484"/>
      <c r="C55" s="491" t="s">
        <v>371</v>
      </c>
      <c r="D55" s="486" t="s">
        <v>7</v>
      </c>
      <c r="E55" s="487"/>
      <c r="F55" s="487">
        <v>0.5</v>
      </c>
      <c r="G55" s="487">
        <f>D25</f>
        <v>25</v>
      </c>
      <c r="H55" s="644"/>
      <c r="I55" s="488">
        <f t="shared" ref="I55:I56" si="0">ROUND(H55*G55*F55,2)</f>
        <v>0</v>
      </c>
      <c r="J55" s="432"/>
      <c r="L55" s="435"/>
      <c r="O55" s="436" t="s">
        <v>372</v>
      </c>
    </row>
    <row r="56" spans="1:15" ht="27.6" x14ac:dyDescent="0.25">
      <c r="B56" s="484"/>
      <c r="C56" s="491" t="s">
        <v>373</v>
      </c>
      <c r="D56" s="486" t="s">
        <v>7</v>
      </c>
      <c r="E56" s="487"/>
      <c r="F56" s="487">
        <v>0.5</v>
      </c>
      <c r="G56" s="487">
        <f>+D27</f>
        <v>1</v>
      </c>
      <c r="H56" s="644"/>
      <c r="I56" s="488">
        <f t="shared" si="0"/>
        <v>0</v>
      </c>
      <c r="J56" s="432"/>
      <c r="L56" s="435"/>
      <c r="M56" s="401" t="s">
        <v>374</v>
      </c>
    </row>
    <row r="57" spans="1:15" x14ac:dyDescent="0.25">
      <c r="B57" s="434"/>
      <c r="C57" s="431"/>
      <c r="D57" s="422"/>
      <c r="E57" s="423"/>
      <c r="F57" s="423"/>
      <c r="G57" s="423"/>
      <c r="H57" s="644"/>
      <c r="I57" s="424"/>
      <c r="J57" s="432"/>
      <c r="L57" s="435"/>
    </row>
    <row r="58" spans="1:15" ht="35.25" customHeight="1" x14ac:dyDescent="0.25">
      <c r="A58" s="401" t="s">
        <v>375</v>
      </c>
      <c r="B58" s="473">
        <f>+B52+0.0001</f>
        <v>1.0403</v>
      </c>
      <c r="C58" s="468" t="s">
        <v>282</v>
      </c>
      <c r="D58" s="475"/>
      <c r="E58" s="476"/>
      <c r="F58" s="476"/>
      <c r="G58" s="476"/>
      <c r="H58" s="645"/>
      <c r="I58" s="477"/>
      <c r="J58" s="472">
        <f>+J59</f>
        <v>0</v>
      </c>
      <c r="L58" s="435"/>
    </row>
    <row r="59" spans="1:15" ht="31.2" customHeight="1" x14ac:dyDescent="0.25">
      <c r="B59" s="478"/>
      <c r="C59" s="500" t="s">
        <v>376</v>
      </c>
      <c r="D59" s="480" t="s">
        <v>363</v>
      </c>
      <c r="E59" s="481">
        <v>0</v>
      </c>
      <c r="F59" s="481"/>
      <c r="G59" s="481"/>
      <c r="H59" s="645"/>
      <c r="I59" s="482">
        <f>+SUM(I60:I62)</f>
        <v>1350</v>
      </c>
      <c r="J59" s="483">
        <f>ROUND(PRODUCT(E59:I59),2)</f>
        <v>0</v>
      </c>
      <c r="L59" s="435"/>
    </row>
    <row r="60" spans="1:15" ht="21" customHeight="1" x14ac:dyDescent="0.25">
      <c r="B60" s="484"/>
      <c r="C60" s="491" t="s">
        <v>377</v>
      </c>
      <c r="D60" s="486" t="s">
        <v>378</v>
      </c>
      <c r="E60" s="487"/>
      <c r="F60" s="487"/>
      <c r="G60" s="487">
        <v>1</v>
      </c>
      <c r="H60" s="646"/>
      <c r="I60" s="488">
        <f>ROUND(G60*H60,2)</f>
        <v>0</v>
      </c>
      <c r="J60" s="489"/>
      <c r="L60" s="437" t="s">
        <v>379</v>
      </c>
      <c r="M60" s="437" t="s">
        <v>380</v>
      </c>
    </row>
    <row r="61" spans="1:15" ht="21" customHeight="1" x14ac:dyDescent="0.25">
      <c r="B61" s="484"/>
      <c r="C61" s="491" t="s">
        <v>381</v>
      </c>
      <c r="D61" s="486" t="s">
        <v>378</v>
      </c>
      <c r="E61" s="487"/>
      <c r="F61" s="487"/>
      <c r="G61" s="487">
        <v>1</v>
      </c>
      <c r="H61" s="646"/>
      <c r="I61" s="488">
        <f>ROUND(G61*H61,2)</f>
        <v>0</v>
      </c>
      <c r="J61" s="489"/>
      <c r="L61" s="437" t="s">
        <v>382</v>
      </c>
      <c r="M61" s="437" t="s">
        <v>383</v>
      </c>
    </row>
    <row r="62" spans="1:15" ht="27.6" x14ac:dyDescent="0.25">
      <c r="B62" s="434"/>
      <c r="C62" s="431" t="s">
        <v>384</v>
      </c>
      <c r="D62" s="422" t="s">
        <v>385</v>
      </c>
      <c r="E62" s="423"/>
      <c r="F62" s="423"/>
      <c r="G62" s="423"/>
      <c r="H62" s="644"/>
      <c r="I62" s="424">
        <f>300+1050</f>
        <v>1350</v>
      </c>
      <c r="J62" s="432"/>
    </row>
    <row r="63" spans="1:15" x14ac:dyDescent="0.25">
      <c r="B63" s="434"/>
      <c r="C63" s="438"/>
      <c r="D63" s="422"/>
      <c r="E63" s="423"/>
      <c r="F63" s="423"/>
      <c r="G63" s="423"/>
      <c r="H63" s="644"/>
      <c r="I63" s="424"/>
      <c r="J63" s="432"/>
    </row>
    <row r="64" spans="1:15" ht="19.95" customHeight="1" x14ac:dyDescent="0.25">
      <c r="A64" s="401" t="s">
        <v>386</v>
      </c>
      <c r="B64" s="473">
        <f>+B58+0.0001</f>
        <v>1.0404</v>
      </c>
      <c r="C64" s="468" t="s">
        <v>283</v>
      </c>
      <c r="D64" s="475"/>
      <c r="E64" s="476"/>
      <c r="F64" s="476"/>
      <c r="G64" s="476"/>
      <c r="H64" s="645"/>
      <c r="I64" s="477"/>
      <c r="J64" s="472">
        <f>+J65</f>
        <v>0</v>
      </c>
      <c r="L64" s="435"/>
    </row>
    <row r="65" spans="1:22" ht="46.2" customHeight="1" x14ac:dyDescent="0.25">
      <c r="B65" s="478"/>
      <c r="C65" s="479" t="s">
        <v>387</v>
      </c>
      <c r="D65" s="480" t="s">
        <v>7</v>
      </c>
      <c r="E65" s="481">
        <v>1</v>
      </c>
      <c r="F65" s="481"/>
      <c r="G65" s="481"/>
      <c r="H65" s="645"/>
      <c r="I65" s="482">
        <f>+SUM(I66:I78)</f>
        <v>0</v>
      </c>
      <c r="J65" s="483">
        <f>ROUND(PRODUCT(E65:I65),2)</f>
        <v>0</v>
      </c>
      <c r="L65" s="435"/>
    </row>
    <row r="66" spans="1:22" ht="19.95" customHeight="1" x14ac:dyDescent="0.25">
      <c r="B66" s="484"/>
      <c r="C66" s="485" t="s">
        <v>388</v>
      </c>
      <c r="D66" s="486" t="s">
        <v>205</v>
      </c>
      <c r="E66" s="487"/>
      <c r="F66" s="487"/>
      <c r="G66" s="487">
        <f>+'Etapa LIQUIDACION'!N21</f>
        <v>0.02</v>
      </c>
      <c r="H66" s="647"/>
      <c r="I66" s="488">
        <f t="shared" ref="I66:I78" si="1">ROUND(H66*G66,2)</f>
        <v>0</v>
      </c>
      <c r="J66" s="489"/>
      <c r="L66" s="439" t="s">
        <v>389</v>
      </c>
      <c r="M66" s="401" t="s">
        <v>390</v>
      </c>
      <c r="N66" s="401">
        <v>14.2</v>
      </c>
      <c r="O66" s="401" t="s">
        <v>391</v>
      </c>
      <c r="P66" s="401" t="s">
        <v>392</v>
      </c>
      <c r="Q66" s="440">
        <f>14.2*3.785</f>
        <v>53.747</v>
      </c>
      <c r="U66" s="441"/>
      <c r="V66" s="441"/>
    </row>
    <row r="67" spans="1:22" ht="19.95" customHeight="1" x14ac:dyDescent="0.25">
      <c r="B67" s="484"/>
      <c r="C67" s="485" t="s">
        <v>393</v>
      </c>
      <c r="D67" s="486" t="s">
        <v>378</v>
      </c>
      <c r="E67" s="487"/>
      <c r="F67" s="487"/>
      <c r="G67" s="487">
        <f>+'Etapa LIQUIDACION'!O21</f>
        <v>0.01</v>
      </c>
      <c r="H67" s="647"/>
      <c r="I67" s="488">
        <f t="shared" si="1"/>
        <v>0</v>
      </c>
      <c r="J67" s="489"/>
      <c r="L67" s="439"/>
      <c r="U67" s="441"/>
      <c r="V67" s="441"/>
    </row>
    <row r="68" spans="1:22" ht="19.95" customHeight="1" x14ac:dyDescent="0.25">
      <c r="B68" s="484"/>
      <c r="C68" s="485" t="s">
        <v>394</v>
      </c>
      <c r="D68" s="486" t="s">
        <v>378</v>
      </c>
      <c r="E68" s="487"/>
      <c r="F68" s="487"/>
      <c r="G68" s="487">
        <f>+'Etapa LIQUIDACION'!P21</f>
        <v>0.03</v>
      </c>
      <c r="H68" s="647"/>
      <c r="I68" s="488">
        <f t="shared" si="1"/>
        <v>0</v>
      </c>
      <c r="J68" s="489"/>
      <c r="L68" s="439" t="s">
        <v>395</v>
      </c>
      <c r="M68" s="401" t="s">
        <v>396</v>
      </c>
      <c r="U68" s="441"/>
      <c r="V68" s="441"/>
    </row>
    <row r="69" spans="1:22" ht="19.95" customHeight="1" x14ac:dyDescent="0.25">
      <c r="B69" s="484"/>
      <c r="C69" s="485" t="s">
        <v>397</v>
      </c>
      <c r="D69" s="486" t="s">
        <v>378</v>
      </c>
      <c r="E69" s="487"/>
      <c r="F69" s="487"/>
      <c r="G69" s="487">
        <f>+'Etapa LIQUIDACION'!Q21</f>
        <v>0.5</v>
      </c>
      <c r="H69" s="647"/>
      <c r="I69" s="488">
        <f t="shared" si="1"/>
        <v>0</v>
      </c>
      <c r="J69" s="489"/>
      <c r="L69" s="439" t="s">
        <v>398</v>
      </c>
      <c r="M69" s="401" t="s">
        <v>396</v>
      </c>
      <c r="U69" s="441"/>
      <c r="V69" s="441"/>
    </row>
    <row r="70" spans="1:22" ht="19.95" customHeight="1" x14ac:dyDescent="0.25">
      <c r="B70" s="484"/>
      <c r="C70" s="485" t="s">
        <v>399</v>
      </c>
      <c r="D70" s="486" t="s">
        <v>378</v>
      </c>
      <c r="E70" s="487"/>
      <c r="F70" s="487"/>
      <c r="G70" s="487">
        <f>+'Etapa LIQUIDACION'!R21</f>
        <v>0.05</v>
      </c>
      <c r="H70" s="647"/>
      <c r="I70" s="488">
        <f t="shared" si="1"/>
        <v>0</v>
      </c>
      <c r="J70" s="489"/>
      <c r="L70" s="439"/>
      <c r="U70" s="441"/>
      <c r="V70" s="441"/>
    </row>
    <row r="71" spans="1:22" ht="28.2" customHeight="1" x14ac:dyDescent="0.25">
      <c r="B71" s="484"/>
      <c r="C71" s="485" t="s">
        <v>400</v>
      </c>
      <c r="D71" s="486" t="s">
        <v>205</v>
      </c>
      <c r="E71" s="487"/>
      <c r="F71" s="487"/>
      <c r="G71" s="487">
        <f>+'Etapa LIQUIDACION'!S21</f>
        <v>0.05</v>
      </c>
      <c r="H71" s="647"/>
      <c r="I71" s="488">
        <f t="shared" si="1"/>
        <v>0</v>
      </c>
      <c r="J71" s="489"/>
      <c r="L71" s="439"/>
      <c r="U71" s="441"/>
      <c r="V71" s="441"/>
    </row>
    <row r="72" spans="1:22" ht="19.95" customHeight="1" x14ac:dyDescent="0.25">
      <c r="B72" s="484"/>
      <c r="C72" s="485" t="s">
        <v>401</v>
      </c>
      <c r="D72" s="486" t="s">
        <v>378</v>
      </c>
      <c r="E72" s="487"/>
      <c r="F72" s="487"/>
      <c r="G72" s="487">
        <f>+'Etapa LIQUIDACION'!T21</f>
        <v>0.5</v>
      </c>
      <c r="H72" s="647"/>
      <c r="I72" s="488">
        <f t="shared" si="1"/>
        <v>0</v>
      </c>
      <c r="J72" s="489"/>
      <c r="L72" s="439" t="s">
        <v>402</v>
      </c>
      <c r="U72" s="441"/>
      <c r="V72" s="441"/>
    </row>
    <row r="73" spans="1:22" ht="19.95" customHeight="1" x14ac:dyDescent="0.25">
      <c r="B73" s="484"/>
      <c r="C73" s="485" t="s">
        <v>403</v>
      </c>
      <c r="D73" s="486" t="s">
        <v>378</v>
      </c>
      <c r="E73" s="487"/>
      <c r="F73" s="487"/>
      <c r="G73" s="487">
        <v>0</v>
      </c>
      <c r="H73" s="647"/>
      <c r="I73" s="488">
        <f t="shared" si="1"/>
        <v>0</v>
      </c>
      <c r="J73" s="489"/>
      <c r="L73" s="437" t="s">
        <v>404</v>
      </c>
      <c r="U73" s="441"/>
      <c r="V73" s="441"/>
    </row>
    <row r="74" spans="1:22" ht="19.95" customHeight="1" x14ac:dyDescent="0.25">
      <c r="B74" s="484"/>
      <c r="C74" s="485" t="s">
        <v>405</v>
      </c>
      <c r="D74" s="486" t="s">
        <v>378</v>
      </c>
      <c r="E74" s="487"/>
      <c r="F74" s="487"/>
      <c r="G74" s="487">
        <v>0</v>
      </c>
      <c r="H74" s="647"/>
      <c r="I74" s="488">
        <f t="shared" si="1"/>
        <v>0</v>
      </c>
      <c r="J74" s="489"/>
      <c r="L74" s="437" t="s">
        <v>406</v>
      </c>
      <c r="U74" s="441"/>
      <c r="V74" s="441"/>
    </row>
    <row r="75" spans="1:22" ht="19.95" customHeight="1" x14ac:dyDescent="0.25">
      <c r="B75" s="484"/>
      <c r="C75" s="485" t="s">
        <v>407</v>
      </c>
      <c r="D75" s="486" t="s">
        <v>378</v>
      </c>
      <c r="E75" s="487"/>
      <c r="F75" s="487"/>
      <c r="G75" s="487">
        <f>ROUND(PlazoDia/3,2)</f>
        <v>25</v>
      </c>
      <c r="H75" s="647"/>
      <c r="I75" s="488">
        <f t="shared" si="1"/>
        <v>0</v>
      </c>
      <c r="J75" s="489"/>
      <c r="L75" s="437"/>
      <c r="U75" s="441"/>
      <c r="V75" s="441"/>
    </row>
    <row r="76" spans="1:22" ht="19.95" customHeight="1" x14ac:dyDescent="0.25">
      <c r="B76" s="484"/>
      <c r="C76" s="485" t="s">
        <v>408</v>
      </c>
      <c r="D76" s="486" t="s">
        <v>378</v>
      </c>
      <c r="E76" s="487"/>
      <c r="F76" s="487"/>
      <c r="G76" s="487">
        <f>G75</f>
        <v>25</v>
      </c>
      <c r="H76" s="647"/>
      <c r="I76" s="488">
        <f t="shared" si="1"/>
        <v>0</v>
      </c>
      <c r="J76" s="489"/>
      <c r="L76" s="437"/>
      <c r="U76" s="441"/>
      <c r="V76" s="441"/>
    </row>
    <row r="77" spans="1:22" ht="27.6" x14ac:dyDescent="0.25">
      <c r="B77" s="484"/>
      <c r="C77" s="485" t="s">
        <v>409</v>
      </c>
      <c r="D77" s="486" t="s">
        <v>378</v>
      </c>
      <c r="E77" s="487"/>
      <c r="F77" s="487"/>
      <c r="G77" s="487">
        <f>ROUND(1/1,2)</f>
        <v>1</v>
      </c>
      <c r="H77" s="647"/>
      <c r="I77" s="488">
        <f t="shared" si="1"/>
        <v>0</v>
      </c>
      <c r="J77" s="489"/>
      <c r="L77" s="437" t="s">
        <v>410</v>
      </c>
      <c r="U77" s="441"/>
      <c r="V77" s="441"/>
    </row>
    <row r="78" spans="1:22" ht="21" customHeight="1" x14ac:dyDescent="0.25">
      <c r="B78" s="484"/>
      <c r="C78" s="485" t="s">
        <v>411</v>
      </c>
      <c r="D78" s="486" t="s">
        <v>412</v>
      </c>
      <c r="E78" s="487"/>
      <c r="F78" s="487"/>
      <c r="G78" s="487">
        <v>1</v>
      </c>
      <c r="H78" s="647"/>
      <c r="I78" s="488">
        <f t="shared" si="1"/>
        <v>0</v>
      </c>
      <c r="J78" s="489"/>
      <c r="L78" s="439" t="s">
        <v>413</v>
      </c>
      <c r="M78" s="401" t="s">
        <v>396</v>
      </c>
      <c r="U78" s="441"/>
      <c r="V78" s="441"/>
    </row>
    <row r="79" spans="1:22" x14ac:dyDescent="0.25">
      <c r="B79" s="484"/>
      <c r="C79" s="485"/>
      <c r="D79" s="486"/>
      <c r="E79" s="487"/>
      <c r="F79" s="487"/>
      <c r="G79" s="487"/>
      <c r="H79" s="647"/>
      <c r="I79" s="488"/>
      <c r="J79" s="489"/>
      <c r="L79" s="439"/>
      <c r="U79" s="441"/>
      <c r="V79" s="441"/>
    </row>
    <row r="80" spans="1:22" ht="28.95" customHeight="1" x14ac:dyDescent="0.25">
      <c r="A80" s="401" t="s">
        <v>414</v>
      </c>
      <c r="B80" s="473">
        <f>+B64+0.0001</f>
        <v>1.0405</v>
      </c>
      <c r="C80" s="501" t="s">
        <v>284</v>
      </c>
      <c r="D80" s="475"/>
      <c r="E80" s="476"/>
      <c r="F80" s="476"/>
      <c r="G80" s="476"/>
      <c r="H80" s="645"/>
      <c r="I80" s="477"/>
      <c r="J80" s="472">
        <f>+J81</f>
        <v>0</v>
      </c>
    </row>
    <row r="81" spans="1:18" ht="29.25" customHeight="1" x14ac:dyDescent="0.25">
      <c r="B81" s="478"/>
      <c r="C81" s="479" t="s">
        <v>415</v>
      </c>
      <c r="D81" s="480" t="s">
        <v>363</v>
      </c>
      <c r="E81" s="481">
        <v>1</v>
      </c>
      <c r="F81" s="481"/>
      <c r="G81" s="481"/>
      <c r="H81" s="645"/>
      <c r="I81" s="482">
        <f>+SUM(I82:I84)</f>
        <v>0</v>
      </c>
      <c r="J81" s="483">
        <f>ROUND(PRODUCT(E81:I81),2)</f>
        <v>0</v>
      </c>
    </row>
    <row r="82" spans="1:18" x14ac:dyDescent="0.25">
      <c r="B82" s="484"/>
      <c r="C82" s="491" t="s">
        <v>416</v>
      </c>
      <c r="D82" s="486" t="s">
        <v>205</v>
      </c>
      <c r="E82" s="487"/>
      <c r="F82" s="487"/>
      <c r="G82" s="487">
        <v>0.1</v>
      </c>
      <c r="H82" s="644"/>
      <c r="I82" s="488">
        <f t="shared" ref="I82:I84" si="2">ROUND(H82*G82,2)</f>
        <v>0</v>
      </c>
      <c r="J82" s="489"/>
      <c r="L82" s="442"/>
    </row>
    <row r="83" spans="1:18" x14ac:dyDescent="0.25">
      <c r="B83" s="484"/>
      <c r="C83" s="491" t="s">
        <v>417</v>
      </c>
      <c r="D83" s="486" t="s">
        <v>205</v>
      </c>
      <c r="E83" s="487"/>
      <c r="F83" s="487"/>
      <c r="G83" s="487">
        <f>G82</f>
        <v>0.1</v>
      </c>
      <c r="H83" s="644"/>
      <c r="I83" s="488">
        <f t="shared" si="2"/>
        <v>0</v>
      </c>
      <c r="J83" s="489"/>
    </row>
    <row r="84" spans="1:18" x14ac:dyDescent="0.25">
      <c r="B84" s="484"/>
      <c r="C84" s="485" t="s">
        <v>418</v>
      </c>
      <c r="D84" s="486" t="s">
        <v>378</v>
      </c>
      <c r="E84" s="487"/>
      <c r="F84" s="487"/>
      <c r="G84" s="487">
        <v>2</v>
      </c>
      <c r="H84" s="644"/>
      <c r="I84" s="488">
        <f t="shared" si="2"/>
        <v>0</v>
      </c>
      <c r="J84" s="489"/>
    </row>
    <row r="85" spans="1:18" x14ac:dyDescent="0.25">
      <c r="B85" s="484"/>
      <c r="C85" s="492"/>
      <c r="D85" s="486"/>
      <c r="E85" s="487"/>
      <c r="F85" s="487"/>
      <c r="G85" s="487"/>
      <c r="H85" s="644"/>
      <c r="I85" s="488"/>
      <c r="J85" s="489"/>
    </row>
    <row r="86" spans="1:18" x14ac:dyDescent="0.25">
      <c r="A86" s="401" t="s">
        <v>419</v>
      </c>
      <c r="B86" s="473">
        <f>+B80+0.0001</f>
        <v>1.0406</v>
      </c>
      <c r="C86" s="501" t="s">
        <v>285</v>
      </c>
      <c r="D86" s="475"/>
      <c r="E86" s="476"/>
      <c r="F86" s="476"/>
      <c r="G86" s="476"/>
      <c r="H86" s="645"/>
      <c r="I86" s="477"/>
      <c r="J86" s="472">
        <f>+J87</f>
        <v>0</v>
      </c>
    </row>
    <row r="87" spans="1:18" ht="31.2" customHeight="1" x14ac:dyDescent="0.25">
      <c r="B87" s="478"/>
      <c r="C87" s="479" t="s">
        <v>420</v>
      </c>
      <c r="D87" s="480" t="s">
        <v>363</v>
      </c>
      <c r="E87" s="481">
        <v>1</v>
      </c>
      <c r="F87" s="481"/>
      <c r="G87" s="481"/>
      <c r="H87" s="645"/>
      <c r="I87" s="482">
        <f>+SUM(I88:I91)</f>
        <v>0</v>
      </c>
      <c r="J87" s="483">
        <f>ROUND(PRODUCT(E87:I87),2)</f>
        <v>0</v>
      </c>
    </row>
    <row r="88" spans="1:18" ht="27.6" x14ac:dyDescent="0.25">
      <c r="B88" s="484"/>
      <c r="C88" s="491" t="s">
        <v>421</v>
      </c>
      <c r="D88" s="486" t="s">
        <v>7</v>
      </c>
      <c r="E88" s="487"/>
      <c r="F88" s="487"/>
      <c r="G88" s="487">
        <v>1</v>
      </c>
      <c r="H88" s="644"/>
      <c r="I88" s="488">
        <f t="shared" ref="I88:I91" si="3">ROUND(H88*G88,2)</f>
        <v>0</v>
      </c>
      <c r="J88" s="489"/>
      <c r="L88" s="435"/>
    </row>
    <row r="89" spans="1:18" x14ac:dyDescent="0.25">
      <c r="B89" s="484"/>
      <c r="C89" s="491" t="s">
        <v>422</v>
      </c>
      <c r="D89" s="486" t="s">
        <v>8</v>
      </c>
      <c r="E89" s="487"/>
      <c r="F89" s="487"/>
      <c r="G89" s="487">
        <v>1</v>
      </c>
      <c r="H89" s="644"/>
      <c r="I89" s="488">
        <f t="shared" si="3"/>
        <v>0</v>
      </c>
      <c r="J89" s="489"/>
      <c r="L89" s="435"/>
    </row>
    <row r="90" spans="1:18" x14ac:dyDescent="0.25">
      <c r="B90" s="484"/>
      <c r="C90" s="491" t="s">
        <v>423</v>
      </c>
      <c r="D90" s="486" t="s">
        <v>18</v>
      </c>
      <c r="E90" s="487"/>
      <c r="F90" s="487"/>
      <c r="G90" s="487">
        <v>1</v>
      </c>
      <c r="H90" s="644"/>
      <c r="I90" s="488">
        <f t="shared" si="3"/>
        <v>0</v>
      </c>
      <c r="J90" s="489"/>
      <c r="L90" s="435"/>
    </row>
    <row r="91" spans="1:18" x14ac:dyDescent="0.25">
      <c r="B91" s="484"/>
      <c r="C91" s="491" t="s">
        <v>424</v>
      </c>
      <c r="D91" s="486" t="s">
        <v>18</v>
      </c>
      <c r="E91" s="487"/>
      <c r="F91" s="487"/>
      <c r="G91" s="487">
        <v>1</v>
      </c>
      <c r="H91" s="644"/>
      <c r="I91" s="488">
        <f t="shared" si="3"/>
        <v>0</v>
      </c>
      <c r="J91" s="489"/>
      <c r="L91" s="435"/>
    </row>
    <row r="92" spans="1:18" x14ac:dyDescent="0.25">
      <c r="B92" s="484"/>
      <c r="C92" s="493"/>
      <c r="D92" s="486"/>
      <c r="E92" s="487"/>
      <c r="F92" s="487"/>
      <c r="G92" s="487"/>
      <c r="H92" s="644"/>
      <c r="I92" s="488"/>
      <c r="J92" s="489"/>
      <c r="L92" s="435"/>
    </row>
    <row r="93" spans="1:18" x14ac:dyDescent="0.25">
      <c r="A93" s="401" t="s">
        <v>425</v>
      </c>
      <c r="B93" s="473">
        <f>+B86+0.0001</f>
        <v>1.0407</v>
      </c>
      <c r="C93" s="468" t="s">
        <v>286</v>
      </c>
      <c r="D93" s="475"/>
      <c r="E93" s="476"/>
      <c r="F93" s="476"/>
      <c r="G93" s="476"/>
      <c r="H93" s="645"/>
      <c r="I93" s="477"/>
      <c r="J93" s="472">
        <f>+J94+J100</f>
        <v>0</v>
      </c>
      <c r="L93" s="435"/>
    </row>
    <row r="94" spans="1:18" ht="43.95" customHeight="1" x14ac:dyDescent="0.25">
      <c r="B94" s="478"/>
      <c r="C94" s="479" t="s">
        <v>426</v>
      </c>
      <c r="D94" s="480" t="s">
        <v>363</v>
      </c>
      <c r="E94" s="481">
        <v>1</v>
      </c>
      <c r="F94" s="481"/>
      <c r="G94" s="481"/>
      <c r="H94" s="645"/>
      <c r="I94" s="482">
        <f>+SUM(I95:I98)</f>
        <v>0</v>
      </c>
      <c r="J94" s="483">
        <f>+PRODUCT(E94:I94)</f>
        <v>0</v>
      </c>
      <c r="L94" s="435"/>
      <c r="P94" s="443" t="s">
        <v>427</v>
      </c>
    </row>
    <row r="95" spans="1:18" ht="19.95" customHeight="1" x14ac:dyDescent="0.25">
      <c r="B95" s="484"/>
      <c r="C95" s="491" t="s">
        <v>428</v>
      </c>
      <c r="D95" s="486" t="s">
        <v>18</v>
      </c>
      <c r="E95" s="487"/>
      <c r="F95" s="487"/>
      <c r="G95" s="487">
        <f>+'Etapa LIQUIDACION'!F22</f>
        <v>6</v>
      </c>
      <c r="H95" s="644"/>
      <c r="I95" s="488">
        <f t="shared" ref="I95:I98" si="4">ROUND(H95*G95,2)</f>
        <v>0</v>
      </c>
      <c r="J95" s="489"/>
      <c r="L95" s="437" t="s">
        <v>429</v>
      </c>
      <c r="M95" s="401" t="s">
        <v>396</v>
      </c>
      <c r="N95" s="443" t="s">
        <v>430</v>
      </c>
      <c r="O95" s="443">
        <v>0.76</v>
      </c>
      <c r="P95" s="443">
        <f>0.76*50</f>
        <v>38</v>
      </c>
      <c r="Q95" s="443" t="s">
        <v>431</v>
      </c>
      <c r="R95" s="443"/>
    </row>
    <row r="96" spans="1:18" ht="19.95" customHeight="1" x14ac:dyDescent="0.25">
      <c r="B96" s="484"/>
      <c r="C96" s="494" t="s">
        <v>432</v>
      </c>
      <c r="D96" s="495" t="s">
        <v>18</v>
      </c>
      <c r="E96" s="487"/>
      <c r="F96" s="487"/>
      <c r="G96" s="487">
        <f>+'Etapa LIQUIDACION'!G22</f>
        <v>4</v>
      </c>
      <c r="H96" s="644"/>
      <c r="I96" s="488">
        <f t="shared" si="4"/>
        <v>0</v>
      </c>
      <c r="J96" s="489"/>
      <c r="L96" s="437" t="s">
        <v>433</v>
      </c>
    </row>
    <row r="97" spans="1:19" ht="19.95" customHeight="1" x14ac:dyDescent="0.25">
      <c r="B97" s="484"/>
      <c r="C97" s="491" t="s">
        <v>434</v>
      </c>
      <c r="D97" s="486" t="s">
        <v>18</v>
      </c>
      <c r="E97" s="487"/>
      <c r="F97" s="487"/>
      <c r="G97" s="487">
        <f>+'Etapa LIQUIDACION'!I22</f>
        <v>2</v>
      </c>
      <c r="H97" s="644"/>
      <c r="I97" s="488">
        <f t="shared" si="4"/>
        <v>0</v>
      </c>
      <c r="J97" s="489"/>
      <c r="L97" s="437" t="s">
        <v>435</v>
      </c>
    </row>
    <row r="98" spans="1:19" ht="19.95" customHeight="1" x14ac:dyDescent="0.25">
      <c r="B98" s="484"/>
      <c r="C98" s="491" t="s">
        <v>436</v>
      </c>
      <c r="D98" s="486" t="s">
        <v>18</v>
      </c>
      <c r="E98" s="487"/>
      <c r="F98" s="487"/>
      <c r="G98" s="487">
        <f>+'Etapa LIQUIDACION'!J22</f>
        <v>8</v>
      </c>
      <c r="H98" s="644"/>
      <c r="I98" s="488">
        <f t="shared" si="4"/>
        <v>0</v>
      </c>
      <c r="J98" s="489"/>
      <c r="L98" s="437" t="s">
        <v>437</v>
      </c>
      <c r="M98" s="401" t="s">
        <v>438</v>
      </c>
    </row>
    <row r="99" spans="1:19" x14ac:dyDescent="0.25">
      <c r="B99" s="484"/>
      <c r="C99" s="491"/>
      <c r="D99" s="486"/>
      <c r="E99" s="487"/>
      <c r="F99" s="487"/>
      <c r="G99" s="487"/>
      <c r="H99" s="644"/>
      <c r="I99" s="488"/>
      <c r="J99" s="489"/>
      <c r="L99" s="435"/>
    </row>
    <row r="100" spans="1:19" ht="39.6" customHeight="1" x14ac:dyDescent="0.25">
      <c r="B100" s="478"/>
      <c r="C100" s="479" t="s">
        <v>439</v>
      </c>
      <c r="D100" s="480" t="s">
        <v>363</v>
      </c>
      <c r="E100" s="481">
        <v>1</v>
      </c>
      <c r="F100" s="481"/>
      <c r="G100" s="481"/>
      <c r="H100" s="645"/>
      <c r="I100" s="482">
        <f>+SUM(I101:I107)</f>
        <v>0</v>
      </c>
      <c r="J100" s="483">
        <f>+PRODUCT(E100:I100)</f>
        <v>0</v>
      </c>
      <c r="L100" s="435"/>
    </row>
    <row r="101" spans="1:19" ht="19.95" customHeight="1" x14ac:dyDescent="0.25">
      <c r="B101" s="484"/>
      <c r="C101" s="494" t="s">
        <v>440</v>
      </c>
      <c r="D101" s="486" t="s">
        <v>18</v>
      </c>
      <c r="E101" s="487"/>
      <c r="F101" s="487"/>
      <c r="G101" s="487">
        <f>+'Etapa LIQUIDACION'!H23</f>
        <v>2</v>
      </c>
      <c r="H101" s="644"/>
      <c r="I101" s="488">
        <f t="shared" ref="I101:I107" si="5">ROUND(H101*G101,2)</f>
        <v>0</v>
      </c>
      <c r="J101" s="489"/>
      <c r="L101" s="437" t="s">
        <v>441</v>
      </c>
      <c r="N101" s="401" t="s">
        <v>430</v>
      </c>
      <c r="O101" s="401">
        <v>4.9000000000000004</v>
      </c>
      <c r="P101" s="401">
        <f>4.9*50</f>
        <v>245.00000000000003</v>
      </c>
    </row>
    <row r="102" spans="1:19" ht="27.6" x14ac:dyDescent="0.25">
      <c r="B102" s="484"/>
      <c r="C102" s="494" t="s">
        <v>442</v>
      </c>
      <c r="D102" s="486" t="s">
        <v>18</v>
      </c>
      <c r="E102" s="496"/>
      <c r="F102" s="497"/>
      <c r="G102" s="497">
        <f>+'Etapa LIQUIDACION'!G23</f>
        <v>2</v>
      </c>
      <c r="H102" s="648"/>
      <c r="I102" s="488">
        <f t="shared" si="5"/>
        <v>0</v>
      </c>
      <c r="J102" s="489"/>
      <c r="L102" s="435"/>
    </row>
    <row r="103" spans="1:19" ht="19.95" customHeight="1" x14ac:dyDescent="0.25">
      <c r="B103" s="484"/>
      <c r="C103" s="494" t="s">
        <v>434</v>
      </c>
      <c r="D103" s="486" t="s">
        <v>18</v>
      </c>
      <c r="E103" s="487"/>
      <c r="F103" s="487"/>
      <c r="G103" s="487">
        <f>+'Etapa LIQUIDACION'!I23</f>
        <v>2</v>
      </c>
      <c r="H103" s="644"/>
      <c r="I103" s="488">
        <f t="shared" si="5"/>
        <v>0</v>
      </c>
      <c r="J103" s="489"/>
      <c r="L103" s="435"/>
      <c r="N103" s="444" t="s">
        <v>443</v>
      </c>
      <c r="O103" s="443"/>
      <c r="P103" s="443" t="s">
        <v>444</v>
      </c>
      <c r="Q103" s="443"/>
      <c r="R103" s="443"/>
      <c r="S103" s="443"/>
    </row>
    <row r="104" spans="1:19" ht="19.95" customHeight="1" x14ac:dyDescent="0.25">
      <c r="B104" s="484"/>
      <c r="C104" s="494" t="s">
        <v>436</v>
      </c>
      <c r="D104" s="486" t="s">
        <v>18</v>
      </c>
      <c r="E104" s="487"/>
      <c r="F104" s="487"/>
      <c r="G104" s="487">
        <f>+'Etapa LIQUIDACION'!J23</f>
        <v>1</v>
      </c>
      <c r="H104" s="644"/>
      <c r="I104" s="488">
        <f t="shared" si="5"/>
        <v>0</v>
      </c>
      <c r="J104" s="489"/>
      <c r="L104" s="435"/>
      <c r="N104" s="445">
        <f>55/50</f>
        <v>1.1000000000000001</v>
      </c>
      <c r="O104" s="445"/>
      <c r="P104" s="443" t="s">
        <v>445</v>
      </c>
      <c r="Q104" s="443"/>
      <c r="R104" s="443"/>
      <c r="S104" s="443"/>
    </row>
    <row r="105" spans="1:19" ht="19.95" customHeight="1" x14ac:dyDescent="0.25">
      <c r="B105" s="484"/>
      <c r="C105" s="494" t="s">
        <v>446</v>
      </c>
      <c r="D105" s="486" t="s">
        <v>18</v>
      </c>
      <c r="E105" s="487"/>
      <c r="F105" s="487"/>
      <c r="G105" s="487">
        <f>+'Etapa LIQUIDACION'!K23</f>
        <v>50</v>
      </c>
      <c r="H105" s="644"/>
      <c r="I105" s="488">
        <f t="shared" si="5"/>
        <v>0</v>
      </c>
      <c r="J105" s="489"/>
      <c r="L105" s="437" t="s">
        <v>447</v>
      </c>
      <c r="M105" s="401" t="s">
        <v>396</v>
      </c>
      <c r="N105" s="443">
        <f>53/50</f>
        <v>1.06</v>
      </c>
      <c r="O105" s="445"/>
      <c r="P105" s="443" t="s">
        <v>448</v>
      </c>
      <c r="Q105" s="443"/>
      <c r="R105" s="443"/>
      <c r="S105" s="443"/>
    </row>
    <row r="106" spans="1:19" ht="19.95" customHeight="1" x14ac:dyDescent="0.25">
      <c r="B106" s="484"/>
      <c r="C106" s="494" t="s">
        <v>449</v>
      </c>
      <c r="D106" s="486" t="s">
        <v>18</v>
      </c>
      <c r="E106" s="487"/>
      <c r="F106" s="487"/>
      <c r="G106" s="487">
        <f>+'Etapa LIQUIDACION'!L23</f>
        <v>12</v>
      </c>
      <c r="H106" s="644"/>
      <c r="I106" s="488">
        <f t="shared" si="5"/>
        <v>0</v>
      </c>
      <c r="J106" s="489"/>
      <c r="L106" s="435"/>
    </row>
    <row r="107" spans="1:19" ht="19.95" customHeight="1" x14ac:dyDescent="0.25">
      <c r="B107" s="484"/>
      <c r="C107" s="494" t="s">
        <v>450</v>
      </c>
      <c r="D107" s="486" t="s">
        <v>18</v>
      </c>
      <c r="E107" s="487"/>
      <c r="F107" s="487"/>
      <c r="G107" s="487">
        <f>+'Etapa LIQUIDACION'!M23</f>
        <v>8</v>
      </c>
      <c r="H107" s="644"/>
      <c r="I107" s="488">
        <f t="shared" si="5"/>
        <v>0</v>
      </c>
      <c r="J107" s="489"/>
      <c r="L107" s="446" t="s">
        <v>451</v>
      </c>
      <c r="M107" s="401" t="s">
        <v>396</v>
      </c>
    </row>
    <row r="108" spans="1:19" x14ac:dyDescent="0.25">
      <c r="B108" s="484"/>
      <c r="C108" s="498"/>
      <c r="D108" s="486"/>
      <c r="E108" s="487"/>
      <c r="F108" s="487"/>
      <c r="G108" s="487"/>
      <c r="H108" s="644"/>
      <c r="I108" s="488"/>
      <c r="J108" s="489"/>
      <c r="L108" s="435"/>
    </row>
    <row r="109" spans="1:19" ht="35.25" customHeight="1" x14ac:dyDescent="0.25">
      <c r="A109" s="401" t="s">
        <v>452</v>
      </c>
      <c r="B109" s="473">
        <f>+B93+0.0001</f>
        <v>1.0407999999999999</v>
      </c>
      <c r="C109" s="468" t="s">
        <v>287</v>
      </c>
      <c r="D109" s="475"/>
      <c r="E109" s="476"/>
      <c r="F109" s="476"/>
      <c r="G109" s="476"/>
      <c r="H109" s="645"/>
      <c r="I109" s="477"/>
      <c r="J109" s="472">
        <f>+J110+J114</f>
        <v>0</v>
      </c>
    </row>
    <row r="110" spans="1:19" ht="27.6" x14ac:dyDescent="0.25">
      <c r="B110" s="478"/>
      <c r="C110" s="479" t="s">
        <v>453</v>
      </c>
      <c r="D110" s="480" t="s">
        <v>7</v>
      </c>
      <c r="E110" s="481">
        <v>3</v>
      </c>
      <c r="F110" s="481"/>
      <c r="G110" s="481"/>
      <c r="H110" s="645"/>
      <c r="I110" s="482">
        <f>+SUM(I111:I113)</f>
        <v>0</v>
      </c>
      <c r="J110" s="483">
        <f>+E110*I110</f>
        <v>0</v>
      </c>
      <c r="L110" s="435"/>
    </row>
    <row r="111" spans="1:19" ht="23.4" customHeight="1" x14ac:dyDescent="0.25">
      <c r="B111" s="484"/>
      <c r="C111" s="491" t="s">
        <v>454</v>
      </c>
      <c r="D111" s="499" t="s">
        <v>455</v>
      </c>
      <c r="E111" s="487"/>
      <c r="F111" s="487"/>
      <c r="G111" s="487"/>
      <c r="H111" s="644"/>
      <c r="I111" s="488"/>
      <c r="J111" s="489"/>
    </row>
    <row r="112" spans="1:19" ht="26.4" customHeight="1" x14ac:dyDescent="0.25">
      <c r="B112" s="484"/>
      <c r="C112" s="491" t="s">
        <v>456</v>
      </c>
      <c r="D112" s="499" t="s">
        <v>455</v>
      </c>
      <c r="E112" s="487"/>
      <c r="F112" s="487"/>
      <c r="G112" s="487"/>
      <c r="H112" s="644"/>
      <c r="I112" s="488"/>
      <c r="J112" s="489"/>
    </row>
    <row r="113" spans="2:12" ht="30.6" customHeight="1" x14ac:dyDescent="0.25">
      <c r="B113" s="484"/>
      <c r="C113" s="491" t="s">
        <v>457</v>
      </c>
      <c r="D113" s="486" t="s">
        <v>7</v>
      </c>
      <c r="E113" s="487"/>
      <c r="F113" s="487">
        <v>0.5</v>
      </c>
      <c r="G113" s="487">
        <v>1</v>
      </c>
      <c r="H113" s="644"/>
      <c r="I113" s="488">
        <f>ROUND(G113*H113*F113,2)</f>
        <v>0</v>
      </c>
      <c r="J113" s="489"/>
    </row>
    <row r="114" spans="2:12" ht="27.6" customHeight="1" x14ac:dyDescent="0.25">
      <c r="B114" s="478"/>
      <c r="C114" s="479" t="s">
        <v>458</v>
      </c>
      <c r="D114" s="480" t="s">
        <v>205</v>
      </c>
      <c r="E114" s="481">
        <v>1</v>
      </c>
      <c r="F114" s="481"/>
      <c r="G114" s="481"/>
      <c r="H114" s="645"/>
      <c r="I114" s="482">
        <f>+I115</f>
        <v>0</v>
      </c>
      <c r="J114" s="483">
        <f>+E114*I114</f>
        <v>0</v>
      </c>
    </row>
    <row r="115" spans="2:12" ht="19.95" customHeight="1" x14ac:dyDescent="0.25">
      <c r="B115" s="484"/>
      <c r="C115" s="491" t="s">
        <v>459</v>
      </c>
      <c r="D115" s="486" t="s">
        <v>378</v>
      </c>
      <c r="E115" s="487"/>
      <c r="F115" s="487"/>
      <c r="G115" s="487">
        <v>1</v>
      </c>
      <c r="H115" s="644"/>
      <c r="I115" s="488">
        <f>ROUND(G115*H115,2)</f>
        <v>0</v>
      </c>
      <c r="J115" s="489"/>
      <c r="L115" s="437" t="s">
        <v>460</v>
      </c>
    </row>
    <row r="116" spans="2:12" x14ac:dyDescent="0.25">
      <c r="B116" s="434"/>
      <c r="C116" s="447"/>
      <c r="D116" s="448"/>
      <c r="E116" s="449"/>
      <c r="F116" s="449"/>
      <c r="G116" s="449"/>
      <c r="H116" s="649"/>
      <c r="I116" s="450"/>
      <c r="J116" s="432"/>
    </row>
    <row r="117" spans="2:12" ht="22.95" customHeight="1" x14ac:dyDescent="0.25">
      <c r="B117" s="467"/>
      <c r="C117" s="468" t="s">
        <v>461</v>
      </c>
      <c r="D117" s="469"/>
      <c r="E117" s="470"/>
      <c r="F117" s="470"/>
      <c r="G117" s="470"/>
      <c r="H117" s="471"/>
      <c r="I117" s="471"/>
      <c r="J117" s="472">
        <f>+J47+J52+J58+J64+J80+J86+J93+J109</f>
        <v>0</v>
      </c>
      <c r="K117" s="451"/>
    </row>
    <row r="118" spans="2:12" ht="15" thickBot="1" x14ac:dyDescent="0.3">
      <c r="B118" s="452"/>
      <c r="C118" s="453"/>
      <c r="D118" s="454"/>
      <c r="E118" s="455"/>
      <c r="F118" s="455"/>
      <c r="G118" s="455"/>
      <c r="H118" s="456"/>
      <c r="I118" s="456"/>
      <c r="J118" s="457"/>
    </row>
    <row r="119" spans="2:12" x14ac:dyDescent="0.25">
      <c r="B119" s="458"/>
      <c r="C119" s="458"/>
      <c r="D119" s="459"/>
      <c r="E119" s="460"/>
      <c r="F119" s="460"/>
      <c r="G119" s="460"/>
      <c r="H119" s="461"/>
      <c r="I119" s="462"/>
      <c r="J119" s="463"/>
      <c r="K119" s="464"/>
    </row>
    <row r="120" spans="2:12" x14ac:dyDescent="0.25">
      <c r="B120" s="458"/>
      <c r="C120" s="458"/>
      <c r="D120" s="460"/>
      <c r="E120" s="460"/>
      <c r="F120" s="460"/>
      <c r="G120" s="460"/>
      <c r="H120" s="462"/>
    </row>
    <row r="121" spans="2:12" x14ac:dyDescent="0.25">
      <c r="B121" s="458"/>
      <c r="C121" s="458"/>
      <c r="D121" s="460"/>
      <c r="E121" s="460"/>
      <c r="F121" s="460"/>
      <c r="G121" s="460"/>
      <c r="H121" s="462"/>
      <c r="J121" s="465"/>
    </row>
    <row r="124" spans="2:12" x14ac:dyDescent="0.25">
      <c r="C124" s="466"/>
    </row>
    <row r="125" spans="2:12" x14ac:dyDescent="0.25">
      <c r="C125" s="466"/>
    </row>
  </sheetData>
  <mergeCells count="2">
    <mergeCell ref="B43:J43"/>
    <mergeCell ref="B44:C44"/>
  </mergeCells>
  <hyperlinks>
    <hyperlink ref="O55" r:id="rId1" display="http://www.exitmaxsac.com/"/>
  </hyperlinks>
  <pageMargins left="0.70866141732283472" right="0.70866141732283472" top="0.74803149606299213" bottom="0.74803149606299213" header="0.31496062992125984" footer="0.31496062992125984"/>
  <pageSetup scale="70" orientation="landscape" r:id="rId2"/>
  <rowBreaks count="3" manualBreakCount="3">
    <brk id="72" max="10" man="1"/>
    <brk id="85" max="10" man="1"/>
    <brk id="9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3.109375" style="359" customWidth="1"/>
    <col min="2" max="2" width="43.109375" style="359" customWidth="1"/>
    <col min="3" max="3" width="10" style="359" customWidth="1"/>
    <col min="4" max="4" width="9.44140625" style="359" customWidth="1"/>
    <col min="5" max="5" width="10.44140625" style="359" customWidth="1"/>
    <col min="6" max="6" width="12.6640625" style="359" customWidth="1"/>
    <col min="7" max="7" width="9.88671875" style="359" bestFit="1" customWidth="1"/>
    <col min="8" max="8" width="12.44140625" style="359" customWidth="1"/>
    <col min="9" max="9" width="9.33203125" style="359" bestFit="1" customWidth="1"/>
    <col min="10" max="11" width="11.109375" style="359" customWidth="1"/>
    <col min="12" max="12" width="7.33203125" style="359" customWidth="1"/>
    <col min="13" max="13" width="8.5546875" style="359" customWidth="1"/>
    <col min="14" max="14" width="11.6640625" style="359" customWidth="1"/>
    <col min="15" max="15" width="10.6640625" style="359" customWidth="1"/>
    <col min="16" max="17" width="11.44140625" style="359"/>
    <col min="18" max="18" width="18" style="359" customWidth="1"/>
    <col min="19" max="19" width="13.33203125" style="359" customWidth="1"/>
    <col min="20" max="20" width="13.5546875" style="359" customWidth="1"/>
    <col min="21" max="21" width="5.88671875" style="359" customWidth="1"/>
    <col min="22" max="16384" width="11.44140625" style="359"/>
  </cols>
  <sheetData>
    <row r="2" spans="2:20" x14ac:dyDescent="0.3">
      <c r="B2" s="745" t="s">
        <v>289</v>
      </c>
      <c r="C2" s="745"/>
      <c r="D2" s="745"/>
      <c r="E2" s="745"/>
      <c r="F2" s="745"/>
    </row>
    <row r="3" spans="2:20" ht="15" customHeight="1" x14ac:dyDescent="0.3">
      <c r="B3" s="360"/>
      <c r="C3" s="360"/>
      <c r="D3" s="360"/>
      <c r="E3" s="360"/>
      <c r="F3" s="360"/>
      <c r="Q3" s="361"/>
    </row>
    <row r="4" spans="2:20" ht="15" customHeight="1" x14ac:dyDescent="0.3">
      <c r="B4" s="360"/>
      <c r="C4" s="360"/>
      <c r="D4" s="362" t="s">
        <v>290</v>
      </c>
      <c r="E4" s="363">
        <v>3</v>
      </c>
      <c r="F4" s="360"/>
    </row>
    <row r="5" spans="2:20" ht="15" customHeight="1" x14ac:dyDescent="0.3">
      <c r="B5" s="360"/>
      <c r="C5" s="360"/>
      <c r="D5" s="360"/>
      <c r="E5" s="360"/>
      <c r="F5" s="360"/>
    </row>
    <row r="6" spans="2:20" ht="15" customHeight="1" thickBot="1" x14ac:dyDescent="0.35">
      <c r="C6" s="360"/>
      <c r="D6" s="360"/>
      <c r="F6" s="364"/>
    </row>
    <row r="7" spans="2:20" x14ac:dyDescent="0.3">
      <c r="B7" s="365" t="s">
        <v>291</v>
      </c>
      <c r="C7" s="366"/>
      <c r="D7" s="367"/>
      <c r="E7" s="368"/>
      <c r="F7" s="746" t="s">
        <v>286</v>
      </c>
      <c r="G7" s="747"/>
      <c r="H7" s="747"/>
      <c r="I7" s="747"/>
      <c r="J7" s="747"/>
      <c r="K7" s="747"/>
      <c r="L7" s="747"/>
      <c r="M7" s="748"/>
      <c r="N7" s="749" t="s">
        <v>292</v>
      </c>
      <c r="O7" s="750"/>
      <c r="P7" s="750"/>
      <c r="Q7" s="750"/>
      <c r="R7" s="750"/>
      <c r="S7" s="750"/>
      <c r="T7" s="751"/>
    </row>
    <row r="8" spans="2:20" ht="42" customHeight="1" x14ac:dyDescent="0.3">
      <c r="B8" s="365" t="s">
        <v>293</v>
      </c>
      <c r="C8" s="369" t="s">
        <v>294</v>
      </c>
      <c r="D8" s="369" t="s">
        <v>295</v>
      </c>
      <c r="E8" s="370" t="s">
        <v>296</v>
      </c>
      <c r="F8" s="371" t="s">
        <v>297</v>
      </c>
      <c r="G8" s="372" t="s">
        <v>298</v>
      </c>
      <c r="H8" s="372" t="s">
        <v>299</v>
      </c>
      <c r="I8" s="372" t="s">
        <v>300</v>
      </c>
      <c r="J8" s="372" t="s">
        <v>301</v>
      </c>
      <c r="K8" s="372" t="s">
        <v>302</v>
      </c>
      <c r="L8" s="372" t="s">
        <v>303</v>
      </c>
      <c r="M8" s="373" t="s">
        <v>304</v>
      </c>
      <c r="N8" s="371" t="s">
        <v>305</v>
      </c>
      <c r="O8" s="372" t="s">
        <v>306</v>
      </c>
      <c r="P8" s="372" t="s">
        <v>307</v>
      </c>
      <c r="Q8" s="372" t="s">
        <v>308</v>
      </c>
      <c r="R8" s="372" t="s">
        <v>309</v>
      </c>
      <c r="S8" s="372" t="s">
        <v>310</v>
      </c>
      <c r="T8" s="373" t="s">
        <v>311</v>
      </c>
    </row>
    <row r="9" spans="2:20" x14ac:dyDescent="0.3">
      <c r="B9" s="374" t="s">
        <v>263</v>
      </c>
      <c r="C9" s="375">
        <v>1</v>
      </c>
      <c r="D9" s="376">
        <v>0.25</v>
      </c>
      <c r="E9" s="377">
        <v>3</v>
      </c>
      <c r="F9" s="378">
        <f>+(C9*E9*25*2)/50</f>
        <v>3</v>
      </c>
      <c r="G9" s="379">
        <f>+ROUND((C9*E9*2)/3,0)</f>
        <v>2</v>
      </c>
      <c r="H9" s="379"/>
      <c r="I9" s="379">
        <f>+ROUNDUP(C9*E9/3,0)</f>
        <v>1</v>
      </c>
      <c r="J9" s="379">
        <f>+ROUND(C9*E9*25*0.05,0)</f>
        <v>4</v>
      </c>
      <c r="K9" s="379"/>
      <c r="L9" s="380"/>
      <c r="M9" s="381"/>
      <c r="N9" s="382">
        <f>+(C9*E9*4*25/1000)/3.785</f>
        <v>7.9260237780713338E-2</v>
      </c>
      <c r="O9" s="383">
        <f>+(C9*E9*3*25/1000)/3.785</f>
        <v>5.9445178335535004E-2</v>
      </c>
      <c r="P9" s="383">
        <f>+C9*E9*6*25/1000</f>
        <v>0.45</v>
      </c>
      <c r="Q9" s="383">
        <f>+ROUNDUP(C9*E9/2,0)</f>
        <v>2</v>
      </c>
      <c r="R9" s="383">
        <f>+C9*E9*10*25/3785</f>
        <v>0.19815059445178335</v>
      </c>
      <c r="S9" s="383">
        <f>0.1*E9*C9*25/40</f>
        <v>0.18750000000000003</v>
      </c>
      <c r="T9" s="384">
        <f>+C9*E9*25*0.03</f>
        <v>2.25</v>
      </c>
    </row>
    <row r="10" spans="2:20" x14ac:dyDescent="0.3">
      <c r="B10" s="374" t="s">
        <v>265</v>
      </c>
      <c r="C10" s="375">
        <v>1</v>
      </c>
      <c r="D10" s="376">
        <v>0.5</v>
      </c>
      <c r="E10" s="377">
        <v>3</v>
      </c>
      <c r="F10" s="378">
        <f>+(C10*E10*25*2)/50</f>
        <v>3</v>
      </c>
      <c r="G10" s="379">
        <f t="shared" ref="G10" si="0">+ROUND((C10*E10*2)/3,0)</f>
        <v>2</v>
      </c>
      <c r="H10" s="379"/>
      <c r="I10" s="379">
        <f t="shared" ref="I10:I15" si="1">+ROUNDUP(C10*E10/3,0)</f>
        <v>1</v>
      </c>
      <c r="J10" s="379">
        <f t="shared" ref="J10" si="2">+ROUND(C10*E10*25*0.05,0)</f>
        <v>4</v>
      </c>
      <c r="K10" s="379"/>
      <c r="L10" s="380"/>
      <c r="M10" s="381"/>
      <c r="N10" s="382">
        <f t="shared" ref="N10" si="3">+(C10*E10*4*25/1000)/3.785</f>
        <v>7.9260237780713338E-2</v>
      </c>
      <c r="O10" s="383">
        <f t="shared" ref="O10" si="4">+(C10*E10*3*25/1000)/3.785</f>
        <v>5.9445178335535004E-2</v>
      </c>
      <c r="P10" s="380">
        <f t="shared" ref="P10:P17" si="5">+C10*E10*6*25/1000</f>
        <v>0.45</v>
      </c>
      <c r="Q10" s="383">
        <f t="shared" ref="Q10:Q17" si="6">+ROUNDUP(C10*E10/2,0)</f>
        <v>2</v>
      </c>
      <c r="R10" s="383">
        <f t="shared" ref="R10:R17" si="7">+C10*E10*10*25/3785</f>
        <v>0.19815059445178335</v>
      </c>
      <c r="S10" s="383">
        <f t="shared" ref="S10:S17" si="8">0.1*E10*C10*25/40</f>
        <v>0.18750000000000003</v>
      </c>
      <c r="T10" s="384">
        <f t="shared" ref="T10:T17" si="9">+C10*E10*25*0.03</f>
        <v>2.25</v>
      </c>
    </row>
    <row r="11" spans="2:20" x14ac:dyDescent="0.3">
      <c r="B11" s="374"/>
      <c r="C11" s="375"/>
      <c r="D11" s="376"/>
      <c r="E11" s="377"/>
      <c r="F11" s="378"/>
      <c r="G11" s="379"/>
      <c r="H11" s="379"/>
      <c r="I11" s="379"/>
      <c r="J11" s="379"/>
      <c r="K11" s="379"/>
      <c r="L11" s="380"/>
      <c r="M11" s="381"/>
      <c r="N11" s="382"/>
      <c r="O11" s="383"/>
      <c r="P11" s="380"/>
      <c r="Q11" s="383"/>
      <c r="R11" s="383"/>
      <c r="S11" s="383"/>
      <c r="T11" s="384"/>
    </row>
    <row r="12" spans="2:20" x14ac:dyDescent="0.3">
      <c r="B12" s="385"/>
      <c r="C12" s="375"/>
      <c r="D12" s="376"/>
      <c r="E12" s="377"/>
      <c r="F12" s="378"/>
      <c r="G12" s="379"/>
      <c r="H12" s="379"/>
      <c r="I12" s="379"/>
      <c r="J12" s="379"/>
      <c r="K12" s="379"/>
      <c r="L12" s="380"/>
      <c r="M12" s="381"/>
      <c r="N12" s="382"/>
      <c r="O12" s="380"/>
      <c r="P12" s="380"/>
      <c r="Q12" s="383"/>
      <c r="R12" s="383"/>
      <c r="S12" s="383"/>
      <c r="T12" s="384"/>
    </row>
    <row r="13" spans="2:20" x14ac:dyDescent="0.3">
      <c r="B13" s="388" t="s">
        <v>314</v>
      </c>
      <c r="C13" s="375">
        <v>0</v>
      </c>
      <c r="D13" s="376"/>
      <c r="E13" s="377">
        <v>1</v>
      </c>
      <c r="F13" s="378"/>
      <c r="G13" s="379">
        <f t="shared" ref="G13:G17" si="10">+ROUND((C13*E13*2)/3,0)</f>
        <v>0</v>
      </c>
      <c r="H13" s="379">
        <f>+(C13*E13*25)/50</f>
        <v>0</v>
      </c>
      <c r="I13" s="379">
        <f t="shared" si="1"/>
        <v>0</v>
      </c>
      <c r="J13" s="379"/>
      <c r="K13" s="389">
        <f>+C13*E13*25</f>
        <v>0</v>
      </c>
      <c r="L13" s="379">
        <f>+C13*E13*8</f>
        <v>0</v>
      </c>
      <c r="M13" s="390">
        <f>+C13*E13*8</f>
        <v>0</v>
      </c>
      <c r="N13" s="382">
        <f t="shared" ref="N13:N17" si="11">+(C13*E13*4*25/1000)/3.785</f>
        <v>0</v>
      </c>
      <c r="O13" s="380"/>
      <c r="P13" s="380">
        <f t="shared" si="5"/>
        <v>0</v>
      </c>
      <c r="Q13" s="383">
        <f t="shared" si="6"/>
        <v>0</v>
      </c>
      <c r="R13" s="383">
        <f t="shared" si="7"/>
        <v>0</v>
      </c>
      <c r="S13" s="383">
        <f t="shared" si="8"/>
        <v>0</v>
      </c>
      <c r="T13" s="384">
        <f t="shared" si="9"/>
        <v>0</v>
      </c>
    </row>
    <row r="14" spans="2:20" x14ac:dyDescent="0.3">
      <c r="B14" s="388" t="s">
        <v>315</v>
      </c>
      <c r="C14" s="375">
        <v>0</v>
      </c>
      <c r="D14" s="376"/>
      <c r="E14" s="377">
        <v>1</v>
      </c>
      <c r="F14" s="378"/>
      <c r="G14" s="379">
        <f t="shared" si="10"/>
        <v>0</v>
      </c>
      <c r="H14" s="379">
        <f t="shared" ref="H14" si="12">+(C14*E14*25)/50</f>
        <v>0</v>
      </c>
      <c r="I14" s="379">
        <f t="shared" si="1"/>
        <v>0</v>
      </c>
      <c r="J14" s="379"/>
      <c r="K14" s="389">
        <f>+C14*E14*25</f>
        <v>0</v>
      </c>
      <c r="L14" s="379">
        <f>+C14*E14*8</f>
        <v>0</v>
      </c>
      <c r="M14" s="390">
        <f>+C14*E14*8</f>
        <v>0</v>
      </c>
      <c r="N14" s="382">
        <f t="shared" si="11"/>
        <v>0</v>
      </c>
      <c r="O14" s="380"/>
      <c r="P14" s="380">
        <f t="shared" si="5"/>
        <v>0</v>
      </c>
      <c r="Q14" s="383">
        <f t="shared" si="6"/>
        <v>0</v>
      </c>
      <c r="R14" s="383">
        <f t="shared" si="7"/>
        <v>0</v>
      </c>
      <c r="S14" s="383">
        <f t="shared" si="8"/>
        <v>0</v>
      </c>
      <c r="T14" s="384">
        <f t="shared" si="9"/>
        <v>0</v>
      </c>
    </row>
    <row r="15" spans="2:20" x14ac:dyDescent="0.3">
      <c r="B15" s="388" t="s">
        <v>316</v>
      </c>
      <c r="C15" s="375">
        <v>1</v>
      </c>
      <c r="D15" s="376"/>
      <c r="E15" s="377">
        <v>1</v>
      </c>
      <c r="F15" s="378"/>
      <c r="G15" s="379">
        <f t="shared" si="10"/>
        <v>1</v>
      </c>
      <c r="H15" s="379">
        <f>ROUND(+(C15*E15*25)/50,0)</f>
        <v>1</v>
      </c>
      <c r="I15" s="379">
        <f t="shared" si="1"/>
        <v>1</v>
      </c>
      <c r="J15" s="379"/>
      <c r="K15" s="389">
        <f>+C15*E15*25</f>
        <v>25</v>
      </c>
      <c r="L15" s="379">
        <f>+C15*E15*8</f>
        <v>8</v>
      </c>
      <c r="M15" s="390">
        <f>+C15*E15*8</f>
        <v>8</v>
      </c>
      <c r="N15" s="382">
        <f t="shared" si="11"/>
        <v>2.6420079260237782E-2</v>
      </c>
      <c r="O15" s="380"/>
      <c r="P15" s="380">
        <f t="shared" si="5"/>
        <v>0.15</v>
      </c>
      <c r="Q15" s="383">
        <f t="shared" si="6"/>
        <v>1</v>
      </c>
      <c r="R15" s="383">
        <f t="shared" si="7"/>
        <v>6.6050198150594458E-2</v>
      </c>
      <c r="S15" s="383">
        <f t="shared" si="8"/>
        <v>6.25E-2</v>
      </c>
      <c r="T15" s="384">
        <f t="shared" si="9"/>
        <v>0.75</v>
      </c>
    </row>
    <row r="16" spans="2:20" x14ac:dyDescent="0.3">
      <c r="B16" s="385" t="s">
        <v>317</v>
      </c>
      <c r="C16" s="375"/>
      <c r="D16" s="376"/>
      <c r="E16" s="377"/>
      <c r="F16" s="378"/>
      <c r="G16" s="379"/>
      <c r="H16" s="379"/>
      <c r="I16" s="379"/>
      <c r="J16" s="379"/>
      <c r="K16" s="389"/>
      <c r="L16" s="379"/>
      <c r="M16" s="390"/>
      <c r="N16" s="382"/>
      <c r="O16" s="380"/>
      <c r="P16" s="380"/>
      <c r="Q16" s="383"/>
      <c r="R16" s="383"/>
      <c r="S16" s="383"/>
      <c r="T16" s="384"/>
    </row>
    <row r="17" spans="2:20" x14ac:dyDescent="0.3">
      <c r="B17" s="388" t="s">
        <v>318</v>
      </c>
      <c r="C17" s="375">
        <v>1</v>
      </c>
      <c r="D17" s="380"/>
      <c r="E17" s="377">
        <v>1</v>
      </c>
      <c r="F17" s="378"/>
      <c r="G17" s="379">
        <f t="shared" si="10"/>
        <v>1</v>
      </c>
      <c r="H17" s="379">
        <f>ROUND(+(C17*E17*25)/50,0)</f>
        <v>1</v>
      </c>
      <c r="I17" s="379">
        <f>+ROUNDUP(C17*E17/3,0)</f>
        <v>1</v>
      </c>
      <c r="J17" s="379">
        <f t="shared" ref="J17" si="13">+ROUND(C17*E17*25*0.05,0)</f>
        <v>1</v>
      </c>
      <c r="K17" s="389">
        <f t="shared" ref="K17" si="14">+C17*E17*25</f>
        <v>25</v>
      </c>
      <c r="L17" s="379">
        <f>+C17*E17*4</f>
        <v>4</v>
      </c>
      <c r="M17" s="390"/>
      <c r="N17" s="382">
        <f t="shared" si="11"/>
        <v>2.6420079260237782E-2</v>
      </c>
      <c r="O17" s="380"/>
      <c r="P17" s="380">
        <f t="shared" si="5"/>
        <v>0.15</v>
      </c>
      <c r="Q17" s="383">
        <f t="shared" si="6"/>
        <v>1</v>
      </c>
      <c r="R17" s="383">
        <f t="shared" si="7"/>
        <v>6.6050198150594458E-2</v>
      </c>
      <c r="S17" s="383">
        <f t="shared" si="8"/>
        <v>6.25E-2</v>
      </c>
      <c r="T17" s="384">
        <f t="shared" si="9"/>
        <v>0.75</v>
      </c>
    </row>
    <row r="18" spans="2:20" x14ac:dyDescent="0.3">
      <c r="B18" s="388"/>
      <c r="C18" s="383"/>
      <c r="D18" s="380"/>
      <c r="E18" s="391"/>
      <c r="F18" s="378"/>
      <c r="G18" s="379"/>
      <c r="H18" s="379"/>
      <c r="I18" s="379"/>
      <c r="J18" s="379"/>
      <c r="K18" s="379"/>
      <c r="L18" s="380"/>
      <c r="M18" s="381"/>
      <c r="N18" s="382"/>
      <c r="O18" s="380"/>
      <c r="P18" s="380"/>
      <c r="Q18" s="383"/>
      <c r="R18" s="383"/>
      <c r="S18" s="383"/>
      <c r="T18" s="384"/>
    </row>
    <row r="19" spans="2:20" x14ac:dyDescent="0.3">
      <c r="B19" s="392" t="s">
        <v>193</v>
      </c>
      <c r="C19" s="393">
        <f>+SUM(C9:C18)</f>
        <v>4</v>
      </c>
      <c r="D19" s="394"/>
      <c r="E19" s="394" t="s">
        <v>193</v>
      </c>
      <c r="F19" s="395">
        <f t="shared" ref="F19:T19" si="15">+SUM(F9:F18)</f>
        <v>6</v>
      </c>
      <c r="G19" s="395">
        <f t="shared" si="15"/>
        <v>6</v>
      </c>
      <c r="H19" s="395">
        <f t="shared" si="15"/>
        <v>2</v>
      </c>
      <c r="I19" s="395">
        <f t="shared" si="15"/>
        <v>4</v>
      </c>
      <c r="J19" s="395">
        <f t="shared" si="15"/>
        <v>9</v>
      </c>
      <c r="K19" s="395">
        <f t="shared" si="15"/>
        <v>50</v>
      </c>
      <c r="L19" s="395">
        <f t="shared" si="15"/>
        <v>12</v>
      </c>
      <c r="M19" s="395">
        <f t="shared" si="15"/>
        <v>8</v>
      </c>
      <c r="N19" s="395">
        <f t="shared" si="15"/>
        <v>0.21136063408190225</v>
      </c>
      <c r="O19" s="395">
        <f t="shared" si="15"/>
        <v>0.11889035667107001</v>
      </c>
      <c r="P19" s="395">
        <f t="shared" si="15"/>
        <v>1.2</v>
      </c>
      <c r="Q19" s="395">
        <f t="shared" si="15"/>
        <v>6</v>
      </c>
      <c r="R19" s="395">
        <f t="shared" si="15"/>
        <v>0.52840158520475555</v>
      </c>
      <c r="S19" s="395">
        <f t="shared" si="15"/>
        <v>0.5</v>
      </c>
      <c r="T19" s="395">
        <f t="shared" si="15"/>
        <v>6</v>
      </c>
    </row>
    <row r="20" spans="2:20" x14ac:dyDescent="0.3">
      <c r="C20" s="375">
        <v>1</v>
      </c>
      <c r="D20" s="376"/>
      <c r="E20" s="377">
        <v>1</v>
      </c>
      <c r="F20" s="378"/>
      <c r="G20" s="379">
        <f>+ROUND((C20*E20*2)/3,0)</f>
        <v>1</v>
      </c>
      <c r="H20" s="379">
        <f>+(C20*E20*25)/50</f>
        <v>0.5</v>
      </c>
      <c r="I20" s="379">
        <f>+ROUNDUP(C20*E20/3,0)</f>
        <v>1</v>
      </c>
      <c r="J20" s="379"/>
      <c r="K20" s="389">
        <f>+C20*E20*25</f>
        <v>25</v>
      </c>
      <c r="L20" s="379">
        <f>+C20*E20*8</f>
        <v>8</v>
      </c>
      <c r="M20" s="390">
        <f>+C20*E20*8</f>
        <v>8</v>
      </c>
      <c r="N20" s="382">
        <f t="shared" ref="N20" si="16">+(C20*E20*4*25/1000)/3.785</f>
        <v>2.6420079260237782E-2</v>
      </c>
      <c r="O20" s="380"/>
      <c r="P20" s="380">
        <f>+C20*E20*6*25/1000</f>
        <v>0.15</v>
      </c>
      <c r="Q20" s="383">
        <f t="shared" ref="Q20" si="17">+ROUNDUP(C20*E20/2,0)</f>
        <v>1</v>
      </c>
      <c r="R20" s="383">
        <f t="shared" ref="R20" si="18">+C20*E20*10*25/3785</f>
        <v>6.6050198150594458E-2</v>
      </c>
      <c r="S20" s="383">
        <f t="shared" ref="S20" si="19">0.1*E20*C20*25/40</f>
        <v>6.25E-2</v>
      </c>
      <c r="T20" s="384">
        <f t="shared" ref="T20" si="20">+C20*E20*25*0.03</f>
        <v>0.75</v>
      </c>
    </row>
    <row r="21" spans="2:20" ht="15" thickBot="1" x14ac:dyDescent="0.35">
      <c r="B21" s="396" t="s">
        <v>319</v>
      </c>
      <c r="D21" s="394"/>
      <c r="E21" s="394"/>
      <c r="N21" s="397">
        <f>+ROUNDUP(N19/12,2)</f>
        <v>0.02</v>
      </c>
      <c r="O21" s="398">
        <f>+ROUNDUP(O19/12,2)</f>
        <v>0.01</v>
      </c>
      <c r="P21" s="398">
        <f>+ROUNDUP(P19/12/3.785,2)</f>
        <v>0.03</v>
      </c>
      <c r="Q21" s="398">
        <f>+ROUNDUP(Q19/12,2)</f>
        <v>0.5</v>
      </c>
      <c r="R21" s="398">
        <f>+ROUNDUP(R19/12,2)</f>
        <v>0.05</v>
      </c>
      <c r="S21" s="398">
        <f>+ROUNDUP(S19/12,2)</f>
        <v>0.05</v>
      </c>
      <c r="T21" s="399">
        <f>+ROUNDUP(T19/12,2)</f>
        <v>0.5</v>
      </c>
    </row>
    <row r="22" spans="2:20" x14ac:dyDescent="0.3">
      <c r="B22" s="396" t="s">
        <v>320</v>
      </c>
      <c r="F22" s="395">
        <f>+F19-F23</f>
        <v>6</v>
      </c>
      <c r="G22" s="395">
        <f>+G19-G23</f>
        <v>4</v>
      </c>
      <c r="H22" s="395">
        <f>+H19-H23</f>
        <v>0</v>
      </c>
      <c r="I22" s="395">
        <f>+I19-I23</f>
        <v>2</v>
      </c>
      <c r="J22" s="395">
        <f>+J19-J23</f>
        <v>8</v>
      </c>
      <c r="K22" s="395"/>
      <c r="L22" s="395">
        <f>+L19-L23</f>
        <v>0</v>
      </c>
      <c r="M22" s="395">
        <f>+M19-M23</f>
        <v>0</v>
      </c>
    </row>
    <row r="23" spans="2:20" x14ac:dyDescent="0.3">
      <c r="B23" s="396" t="s">
        <v>321</v>
      </c>
      <c r="F23" s="395">
        <f>+ROUNDUP(SUM(F13:F17),2)</f>
        <v>0</v>
      </c>
      <c r="G23" s="395">
        <f>+ROUNDUP(SUM(G13:G17),2)</f>
        <v>2</v>
      </c>
      <c r="H23" s="395">
        <f>+ROUNDUP(SUM(H13:H17),2)</f>
        <v>2</v>
      </c>
      <c r="I23" s="395">
        <f>+ROUNDUP(SUM(I13:I17),2)</f>
        <v>2</v>
      </c>
      <c r="J23" s="395">
        <f>+ROUNDUP(SUM(J13:J17),2)</f>
        <v>1</v>
      </c>
      <c r="K23" s="395">
        <f>+K19</f>
        <v>50</v>
      </c>
      <c r="L23" s="395">
        <f>+ROUNDUP(SUM(L13:L17),2)</f>
        <v>12</v>
      </c>
      <c r="M23" s="395">
        <f>+ROUNDUP(SUM(M13:M17),2)</f>
        <v>8</v>
      </c>
    </row>
    <row r="24" spans="2:20" x14ac:dyDescent="0.3">
      <c r="C24" s="400"/>
    </row>
    <row r="25" spans="2:20" x14ac:dyDescent="0.3">
      <c r="C25" s="400"/>
    </row>
    <row r="38" spans="6:6" x14ac:dyDescent="0.3">
      <c r="F38" s="359" t="s">
        <v>322</v>
      </c>
    </row>
  </sheetData>
  <mergeCells count="3">
    <mergeCell ref="B2:F2"/>
    <mergeCell ref="F7:M7"/>
    <mergeCell ref="N7:T7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topLeftCell="A10" workbookViewId="0">
      <selection activeCell="E5" sqref="E5"/>
    </sheetView>
  </sheetViews>
  <sheetFormatPr baseColWidth="10" defaultColWidth="11.44140625" defaultRowHeight="14.4" x14ac:dyDescent="0.3"/>
  <cols>
    <col min="1" max="1" width="3.109375" style="359" customWidth="1"/>
    <col min="2" max="2" width="43.109375" style="359" customWidth="1"/>
    <col min="3" max="3" width="10" style="359" customWidth="1"/>
    <col min="4" max="4" width="9.44140625" style="359" customWidth="1"/>
    <col min="5" max="5" width="10.44140625" style="359" customWidth="1"/>
    <col min="6" max="6" width="12.6640625" style="359" customWidth="1"/>
    <col min="7" max="7" width="9.88671875" style="359" bestFit="1" customWidth="1"/>
    <col min="8" max="8" width="12.44140625" style="359" customWidth="1"/>
    <col min="9" max="9" width="9.33203125" style="359" bestFit="1" customWidth="1"/>
    <col min="10" max="11" width="11.109375" style="359" customWidth="1"/>
    <col min="12" max="12" width="7.33203125" style="359" customWidth="1"/>
    <col min="13" max="13" width="8.5546875" style="359" customWidth="1"/>
    <col min="14" max="14" width="11.6640625" style="359" customWidth="1"/>
    <col min="15" max="15" width="10.6640625" style="359" customWidth="1"/>
    <col min="16" max="17" width="11.44140625" style="359"/>
    <col min="18" max="18" width="18" style="359" customWidth="1"/>
    <col min="19" max="19" width="13.33203125" style="359" customWidth="1"/>
    <col min="20" max="20" width="13.5546875" style="359" customWidth="1"/>
    <col min="21" max="21" width="5.88671875" style="359" customWidth="1"/>
    <col min="22" max="16384" width="11.44140625" style="359"/>
  </cols>
  <sheetData>
    <row r="2" spans="2:20" x14ac:dyDescent="0.3">
      <c r="B2" s="745" t="s">
        <v>289</v>
      </c>
      <c r="C2" s="745"/>
      <c r="D2" s="745"/>
      <c r="E2" s="745"/>
      <c r="F2" s="745"/>
    </row>
    <row r="3" spans="2:20" ht="15" customHeight="1" x14ac:dyDescent="0.3">
      <c r="B3" s="360"/>
      <c r="C3" s="360"/>
      <c r="D3" s="360"/>
      <c r="E3" s="360"/>
      <c r="F3" s="360"/>
      <c r="Q3" s="361"/>
    </row>
    <row r="4" spans="2:20" ht="15" customHeight="1" x14ac:dyDescent="0.3">
      <c r="B4" s="360"/>
      <c r="C4" s="360"/>
      <c r="D4" s="362" t="s">
        <v>290</v>
      </c>
      <c r="E4" s="363">
        <v>1</v>
      </c>
      <c r="F4" s="360"/>
    </row>
    <row r="5" spans="2:20" ht="15" customHeight="1" x14ac:dyDescent="0.3">
      <c r="B5" s="360"/>
      <c r="C5" s="360"/>
      <c r="D5" s="360"/>
      <c r="E5" s="360"/>
      <c r="F5" s="360"/>
    </row>
    <row r="6" spans="2:20" ht="15" customHeight="1" thickBot="1" x14ac:dyDescent="0.35">
      <c r="C6" s="360"/>
      <c r="D6" s="360"/>
      <c r="F6" s="364"/>
    </row>
    <row r="7" spans="2:20" x14ac:dyDescent="0.3">
      <c r="B7" s="365" t="s">
        <v>291</v>
      </c>
      <c r="C7" s="366"/>
      <c r="D7" s="367"/>
      <c r="E7" s="368"/>
      <c r="F7" s="746" t="s">
        <v>286</v>
      </c>
      <c r="G7" s="747"/>
      <c r="H7" s="747"/>
      <c r="I7" s="747"/>
      <c r="J7" s="747"/>
      <c r="K7" s="747"/>
      <c r="L7" s="747"/>
      <c r="M7" s="748"/>
      <c r="N7" s="749" t="s">
        <v>292</v>
      </c>
      <c r="O7" s="750"/>
      <c r="P7" s="750"/>
      <c r="Q7" s="750"/>
      <c r="R7" s="750"/>
      <c r="S7" s="750"/>
      <c r="T7" s="751"/>
    </row>
    <row r="8" spans="2:20" ht="42" customHeight="1" x14ac:dyDescent="0.3">
      <c r="B8" s="365" t="s">
        <v>293</v>
      </c>
      <c r="C8" s="369" t="s">
        <v>294</v>
      </c>
      <c r="D8" s="369" t="s">
        <v>295</v>
      </c>
      <c r="E8" s="370" t="s">
        <v>296</v>
      </c>
      <c r="F8" s="371" t="s">
        <v>297</v>
      </c>
      <c r="G8" s="372" t="s">
        <v>298</v>
      </c>
      <c r="H8" s="372" t="s">
        <v>299</v>
      </c>
      <c r="I8" s="372" t="s">
        <v>300</v>
      </c>
      <c r="J8" s="372" t="s">
        <v>301</v>
      </c>
      <c r="K8" s="372" t="s">
        <v>302</v>
      </c>
      <c r="L8" s="372" t="s">
        <v>303</v>
      </c>
      <c r="M8" s="373" t="s">
        <v>304</v>
      </c>
      <c r="N8" s="371" t="s">
        <v>305</v>
      </c>
      <c r="O8" s="372" t="s">
        <v>306</v>
      </c>
      <c r="P8" s="372" t="s">
        <v>307</v>
      </c>
      <c r="Q8" s="372" t="s">
        <v>308</v>
      </c>
      <c r="R8" s="372" t="s">
        <v>309</v>
      </c>
      <c r="S8" s="372" t="s">
        <v>310</v>
      </c>
      <c r="T8" s="373" t="s">
        <v>311</v>
      </c>
    </row>
    <row r="9" spans="2:20" x14ac:dyDescent="0.3">
      <c r="B9" s="374" t="s">
        <v>263</v>
      </c>
      <c r="C9" s="375">
        <v>1</v>
      </c>
      <c r="D9" s="376">
        <v>1</v>
      </c>
      <c r="E9" s="377">
        <v>1</v>
      </c>
      <c r="F9" s="378">
        <f>+(C9*E9*25*2)/50</f>
        <v>1</v>
      </c>
      <c r="G9" s="379">
        <f>+ROUND((C9*E9*2)/3,0)</f>
        <v>1</v>
      </c>
      <c r="H9" s="379"/>
      <c r="I9" s="379">
        <f>+ROUNDUP(C9*E9/3,0)</f>
        <v>1</v>
      </c>
      <c r="J9" s="379">
        <f>+ROUND(C9*E9*25*0.05,0)</f>
        <v>1</v>
      </c>
      <c r="K9" s="379"/>
      <c r="L9" s="380"/>
      <c r="M9" s="381"/>
      <c r="N9" s="382">
        <f>+(C9*E9*4*25/1000)/3.785</f>
        <v>2.6420079260237782E-2</v>
      </c>
      <c r="O9" s="383">
        <f>+(C9*E9*3*25/1000)/3.785</f>
        <v>1.9815059445178335E-2</v>
      </c>
      <c r="P9" s="383">
        <f>+C9*E9*6*25/1000</f>
        <v>0.15</v>
      </c>
      <c r="Q9" s="383">
        <f>+ROUNDUP(C9*E9/2,0)</f>
        <v>1</v>
      </c>
      <c r="R9" s="383">
        <f>+C9*E9*10*25/3785</f>
        <v>6.6050198150594458E-2</v>
      </c>
      <c r="S9" s="383">
        <f>0.1*E9*C9*25/40</f>
        <v>6.25E-2</v>
      </c>
      <c r="T9" s="384">
        <f>+C9*E9*25*0.03</f>
        <v>0.75</v>
      </c>
    </row>
    <row r="10" spans="2:20" x14ac:dyDescent="0.3">
      <c r="B10" s="374" t="s">
        <v>264</v>
      </c>
      <c r="C10" s="375">
        <v>1</v>
      </c>
      <c r="D10" s="376">
        <v>0.5</v>
      </c>
      <c r="E10" s="377">
        <v>1</v>
      </c>
      <c r="F10" s="378">
        <f>+(C10*E10*25*2)/50</f>
        <v>1</v>
      </c>
      <c r="G10" s="379">
        <f t="shared" ref="G10:G14" si="0">+ROUND((C10*E10*2)/3,0)</f>
        <v>1</v>
      </c>
      <c r="H10" s="379"/>
      <c r="I10" s="379">
        <f t="shared" ref="I10:I19" si="1">+ROUNDUP(C10*E10/3,0)</f>
        <v>1</v>
      </c>
      <c r="J10" s="379">
        <f t="shared" ref="J10:J14" si="2">+ROUND(C10*E10*25*0.05,0)</f>
        <v>1</v>
      </c>
      <c r="K10" s="379"/>
      <c r="L10" s="380"/>
      <c r="M10" s="381"/>
      <c r="N10" s="382">
        <f t="shared" ref="N10:N11" si="3">+(C10*E10*4*25/1000)/3.785</f>
        <v>2.6420079260237782E-2</v>
      </c>
      <c r="O10" s="383">
        <f t="shared" ref="O10:O11" si="4">+(C10*E10*3*25/1000)/3.785</f>
        <v>1.9815059445178335E-2</v>
      </c>
      <c r="P10" s="380">
        <f t="shared" ref="P10:P21" si="5">+C10*E10*6*25/1000</f>
        <v>0.15</v>
      </c>
      <c r="Q10" s="383">
        <f t="shared" ref="Q10:Q21" si="6">+ROUNDUP(C10*E10/2,0)</f>
        <v>1</v>
      </c>
      <c r="R10" s="383">
        <f t="shared" ref="R10:R21" si="7">+C10*E10*10*25/3785</f>
        <v>6.6050198150594458E-2</v>
      </c>
      <c r="S10" s="383">
        <f t="shared" ref="S10:S21" si="8">0.1*E10*C10*25/40</f>
        <v>6.25E-2</v>
      </c>
      <c r="T10" s="384">
        <f t="shared" ref="T10:T21" si="9">+C10*E10*25*0.03</f>
        <v>0.75</v>
      </c>
    </row>
    <row r="11" spans="2:20" x14ac:dyDescent="0.3">
      <c r="B11" s="374" t="s">
        <v>13</v>
      </c>
      <c r="C11" s="375">
        <v>1</v>
      </c>
      <c r="D11" s="376">
        <v>1</v>
      </c>
      <c r="E11" s="377">
        <v>1</v>
      </c>
      <c r="F11" s="378">
        <f>+(C11*E11*25*2)/50</f>
        <v>1</v>
      </c>
      <c r="G11" s="379">
        <f t="shared" si="0"/>
        <v>1</v>
      </c>
      <c r="H11" s="379"/>
      <c r="I11" s="379">
        <f t="shared" si="1"/>
        <v>1</v>
      </c>
      <c r="J11" s="379">
        <f t="shared" si="2"/>
        <v>1</v>
      </c>
      <c r="K11" s="379"/>
      <c r="L11" s="380"/>
      <c r="M11" s="381"/>
      <c r="N11" s="382">
        <f t="shared" si="3"/>
        <v>2.6420079260237782E-2</v>
      </c>
      <c r="O11" s="383">
        <f t="shared" si="4"/>
        <v>1.9815059445178335E-2</v>
      </c>
      <c r="P11" s="380">
        <f t="shared" si="5"/>
        <v>0.15</v>
      </c>
      <c r="Q11" s="383">
        <f t="shared" si="6"/>
        <v>1</v>
      </c>
      <c r="R11" s="383">
        <f t="shared" si="7"/>
        <v>6.6050198150594458E-2</v>
      </c>
      <c r="S11" s="383">
        <f t="shared" si="8"/>
        <v>6.25E-2</v>
      </c>
      <c r="T11" s="384">
        <f t="shared" si="9"/>
        <v>0.75</v>
      </c>
    </row>
    <row r="12" spans="2:20" x14ac:dyDescent="0.3">
      <c r="B12" s="374" t="s">
        <v>267</v>
      </c>
      <c r="C12" s="375">
        <v>1</v>
      </c>
      <c r="D12" s="376">
        <v>0.25</v>
      </c>
      <c r="E12" s="377">
        <v>1</v>
      </c>
      <c r="F12" s="378">
        <f>+(C12*E12*25*2)/50</f>
        <v>1</v>
      </c>
      <c r="G12" s="379">
        <f t="shared" ref="G12" si="10">+ROUND((C12*E12*2)/3,0)</f>
        <v>1</v>
      </c>
      <c r="H12" s="379"/>
      <c r="I12" s="379">
        <f t="shared" ref="I12" si="11">+ROUNDUP(C12*E12/3,0)</f>
        <v>1</v>
      </c>
      <c r="J12" s="379">
        <f t="shared" ref="J12" si="12">+ROUND(C12*E12*25*0.05,0)</f>
        <v>1</v>
      </c>
      <c r="K12" s="379"/>
      <c r="L12" s="380"/>
      <c r="M12" s="381"/>
      <c r="N12" s="382">
        <f t="shared" ref="N12" si="13">+(C12*E12*4*25/1000)/3.785</f>
        <v>2.6420079260237782E-2</v>
      </c>
      <c r="O12" s="383">
        <f t="shared" ref="O12" si="14">+(C12*E12*3*25/1000)/3.785</f>
        <v>1.9815059445178335E-2</v>
      </c>
      <c r="P12" s="380">
        <f t="shared" ref="P12" si="15">+C12*E12*6*25/1000</f>
        <v>0.15</v>
      </c>
      <c r="Q12" s="383">
        <f t="shared" ref="Q12" si="16">+ROUNDUP(C12*E12/2,0)</f>
        <v>1</v>
      </c>
      <c r="R12" s="383">
        <f t="shared" ref="R12" si="17">+C12*E12*10*25/3785</f>
        <v>6.6050198150594458E-2</v>
      </c>
      <c r="S12" s="383">
        <f t="shared" ref="S12" si="18">0.1*E12*C12*25/40</f>
        <v>6.25E-2</v>
      </c>
      <c r="T12" s="384">
        <f t="shared" ref="T12" si="19">+C12*E12*25*0.03</f>
        <v>0.75</v>
      </c>
    </row>
    <row r="13" spans="2:20" x14ac:dyDescent="0.3">
      <c r="B13" s="374" t="s">
        <v>268</v>
      </c>
      <c r="C13" s="375">
        <v>1</v>
      </c>
      <c r="D13" s="233">
        <v>0.25</v>
      </c>
      <c r="E13" s="377">
        <v>1</v>
      </c>
      <c r="F13" s="378">
        <f t="shared" ref="F13:F14" si="20">+(C13*E13*25*2)/50</f>
        <v>1</v>
      </c>
      <c r="G13" s="379">
        <f t="shared" si="0"/>
        <v>1</v>
      </c>
      <c r="H13" s="379"/>
      <c r="I13" s="379">
        <f t="shared" si="1"/>
        <v>1</v>
      </c>
      <c r="J13" s="379">
        <f t="shared" si="2"/>
        <v>1</v>
      </c>
      <c r="K13" s="379"/>
      <c r="L13" s="380"/>
      <c r="M13" s="381"/>
      <c r="N13" s="382">
        <f t="shared" ref="N13:N14" si="21">+(C13*E13*4*25/1000)/3.785</f>
        <v>2.6420079260237782E-2</v>
      </c>
      <c r="O13" s="383">
        <f t="shared" ref="O13:O14" si="22">+(C13*E13*3*25/1000)/3.785</f>
        <v>1.9815059445178335E-2</v>
      </c>
      <c r="P13" s="380">
        <f t="shared" si="5"/>
        <v>0.15</v>
      </c>
      <c r="Q13" s="383">
        <f t="shared" si="6"/>
        <v>1</v>
      </c>
      <c r="R13" s="383">
        <f t="shared" si="7"/>
        <v>6.6050198150594458E-2</v>
      </c>
      <c r="S13" s="383">
        <f t="shared" si="8"/>
        <v>6.25E-2</v>
      </c>
      <c r="T13" s="384">
        <f t="shared" si="9"/>
        <v>0.75</v>
      </c>
    </row>
    <row r="14" spans="2:20" x14ac:dyDescent="0.3">
      <c r="B14" s="374" t="s">
        <v>269</v>
      </c>
      <c r="C14" s="375">
        <v>1</v>
      </c>
      <c r="D14" s="233">
        <v>0.25</v>
      </c>
      <c r="E14" s="377">
        <v>1</v>
      </c>
      <c r="F14" s="378">
        <f t="shared" si="20"/>
        <v>1</v>
      </c>
      <c r="G14" s="379">
        <f t="shared" si="0"/>
        <v>1</v>
      </c>
      <c r="H14" s="379"/>
      <c r="I14" s="379">
        <f t="shared" si="1"/>
        <v>1</v>
      </c>
      <c r="J14" s="379">
        <f t="shared" si="2"/>
        <v>1</v>
      </c>
      <c r="K14" s="379"/>
      <c r="L14" s="380"/>
      <c r="M14" s="381"/>
      <c r="N14" s="382">
        <f t="shared" si="21"/>
        <v>2.6420079260237782E-2</v>
      </c>
      <c r="O14" s="383">
        <f t="shared" si="22"/>
        <v>1.9815059445178335E-2</v>
      </c>
      <c r="P14" s="380">
        <f t="shared" si="5"/>
        <v>0.15</v>
      </c>
      <c r="Q14" s="383">
        <f t="shared" si="6"/>
        <v>1</v>
      </c>
      <c r="R14" s="383">
        <f t="shared" si="7"/>
        <v>6.6050198150594458E-2</v>
      </c>
      <c r="S14" s="383">
        <f t="shared" si="8"/>
        <v>6.25E-2</v>
      </c>
      <c r="T14" s="384">
        <f t="shared" si="9"/>
        <v>0.75</v>
      </c>
    </row>
    <row r="15" spans="2:20" x14ac:dyDescent="0.3">
      <c r="B15" s="374"/>
      <c r="C15" s="375"/>
      <c r="D15" s="376"/>
      <c r="E15" s="377"/>
      <c r="F15" s="378"/>
      <c r="G15" s="379"/>
      <c r="H15" s="379"/>
      <c r="I15" s="379"/>
      <c r="J15" s="379"/>
      <c r="K15" s="379"/>
      <c r="L15" s="380"/>
      <c r="M15" s="381"/>
      <c r="N15" s="382"/>
      <c r="O15" s="383"/>
      <c r="P15" s="380"/>
      <c r="Q15" s="383"/>
      <c r="R15" s="383"/>
      <c r="S15" s="383"/>
      <c r="T15" s="384"/>
    </row>
    <row r="16" spans="2:20" x14ac:dyDescent="0.3">
      <c r="B16" s="385"/>
      <c r="C16" s="375"/>
      <c r="D16" s="376"/>
      <c r="E16" s="377"/>
      <c r="F16" s="378"/>
      <c r="G16" s="379"/>
      <c r="H16" s="379"/>
      <c r="I16" s="379"/>
      <c r="J16" s="379"/>
      <c r="K16" s="379"/>
      <c r="L16" s="380"/>
      <c r="M16" s="381"/>
      <c r="N16" s="382"/>
      <c r="O16" s="380"/>
      <c r="P16" s="380"/>
      <c r="Q16" s="383"/>
      <c r="R16" s="383"/>
      <c r="S16" s="383"/>
      <c r="T16" s="384"/>
    </row>
    <row r="17" spans="2:20" x14ac:dyDescent="0.3">
      <c r="B17" s="388" t="s">
        <v>314</v>
      </c>
      <c r="C17" s="375">
        <v>0</v>
      </c>
      <c r="D17" s="376"/>
      <c r="E17" s="377">
        <v>1</v>
      </c>
      <c r="F17" s="378"/>
      <c r="G17" s="379">
        <f t="shared" ref="G17:G21" si="23">+ROUND((C17*E17*2)/3,0)</f>
        <v>0</v>
      </c>
      <c r="H17" s="379">
        <f>+(C17*E17*25)/50</f>
        <v>0</v>
      </c>
      <c r="I17" s="379">
        <f t="shared" si="1"/>
        <v>0</v>
      </c>
      <c r="J17" s="379"/>
      <c r="K17" s="389">
        <f>+C17*E17*25</f>
        <v>0</v>
      </c>
      <c r="L17" s="379">
        <f>+C17*E17*8</f>
        <v>0</v>
      </c>
      <c r="M17" s="390">
        <f>+C17*E17*8</f>
        <v>0</v>
      </c>
      <c r="N17" s="382">
        <f t="shared" ref="N17:N21" si="24">+(C17*E17*4*25/1000)/3.785</f>
        <v>0</v>
      </c>
      <c r="O17" s="380"/>
      <c r="P17" s="380">
        <f t="shared" si="5"/>
        <v>0</v>
      </c>
      <c r="Q17" s="383">
        <f t="shared" si="6"/>
        <v>0</v>
      </c>
      <c r="R17" s="383">
        <f t="shared" si="7"/>
        <v>0</v>
      </c>
      <c r="S17" s="383">
        <f t="shared" si="8"/>
        <v>0</v>
      </c>
      <c r="T17" s="384">
        <f t="shared" si="9"/>
        <v>0</v>
      </c>
    </row>
    <row r="18" spans="2:20" x14ac:dyDescent="0.3">
      <c r="B18" s="388" t="s">
        <v>315</v>
      </c>
      <c r="C18" s="375">
        <v>0</v>
      </c>
      <c r="D18" s="376"/>
      <c r="E18" s="377">
        <v>1</v>
      </c>
      <c r="F18" s="378"/>
      <c r="G18" s="379">
        <f t="shared" si="23"/>
        <v>0</v>
      </c>
      <c r="H18" s="379">
        <f t="shared" ref="H18" si="25">+(C18*E18*25)/50</f>
        <v>0</v>
      </c>
      <c r="I18" s="379">
        <f t="shared" si="1"/>
        <v>0</v>
      </c>
      <c r="J18" s="379"/>
      <c r="K18" s="389">
        <f>+C18*E18*25</f>
        <v>0</v>
      </c>
      <c r="L18" s="379">
        <f>+C18*E18*8</f>
        <v>0</v>
      </c>
      <c r="M18" s="390">
        <f>+C18*E18*8</f>
        <v>0</v>
      </c>
      <c r="N18" s="382">
        <f t="shared" si="24"/>
        <v>0</v>
      </c>
      <c r="O18" s="380"/>
      <c r="P18" s="380">
        <f t="shared" si="5"/>
        <v>0</v>
      </c>
      <c r="Q18" s="383">
        <f t="shared" si="6"/>
        <v>0</v>
      </c>
      <c r="R18" s="383">
        <f t="shared" si="7"/>
        <v>0</v>
      </c>
      <c r="S18" s="383">
        <f t="shared" si="8"/>
        <v>0</v>
      </c>
      <c r="T18" s="384">
        <f t="shared" si="9"/>
        <v>0</v>
      </c>
    </row>
    <row r="19" spans="2:20" x14ac:dyDescent="0.3">
      <c r="B19" s="388" t="s">
        <v>316</v>
      </c>
      <c r="C19" s="375">
        <v>1</v>
      </c>
      <c r="D19" s="376"/>
      <c r="E19" s="377">
        <v>1</v>
      </c>
      <c r="F19" s="378"/>
      <c r="G19" s="379">
        <f t="shared" si="23"/>
        <v>1</v>
      </c>
      <c r="H19" s="379">
        <f>ROUND(+(C19*E19*25)/50,0)</f>
        <v>1</v>
      </c>
      <c r="I19" s="379">
        <f t="shared" si="1"/>
        <v>1</v>
      </c>
      <c r="J19" s="379"/>
      <c r="K19" s="389">
        <f>+C19*E19*25</f>
        <v>25</v>
      </c>
      <c r="L19" s="379">
        <f>+C19*E19*8</f>
        <v>8</v>
      </c>
      <c r="M19" s="390">
        <f>+C19*E19*8</f>
        <v>8</v>
      </c>
      <c r="N19" s="382">
        <f t="shared" si="24"/>
        <v>2.6420079260237782E-2</v>
      </c>
      <c r="O19" s="380"/>
      <c r="P19" s="380">
        <f t="shared" si="5"/>
        <v>0.15</v>
      </c>
      <c r="Q19" s="383">
        <f t="shared" si="6"/>
        <v>1</v>
      </c>
      <c r="R19" s="383">
        <f t="shared" si="7"/>
        <v>6.6050198150594458E-2</v>
      </c>
      <c r="S19" s="383">
        <f t="shared" si="8"/>
        <v>6.25E-2</v>
      </c>
      <c r="T19" s="384">
        <f t="shared" si="9"/>
        <v>0.75</v>
      </c>
    </row>
    <row r="20" spans="2:20" x14ac:dyDescent="0.3">
      <c r="B20" s="385" t="s">
        <v>317</v>
      </c>
      <c r="C20" s="375"/>
      <c r="D20" s="376"/>
      <c r="E20" s="377"/>
      <c r="F20" s="378"/>
      <c r="G20" s="379"/>
      <c r="H20" s="379"/>
      <c r="I20" s="379"/>
      <c r="J20" s="379"/>
      <c r="K20" s="389"/>
      <c r="L20" s="379"/>
      <c r="M20" s="390"/>
      <c r="N20" s="382"/>
      <c r="O20" s="380"/>
      <c r="P20" s="380"/>
      <c r="Q20" s="383"/>
      <c r="R20" s="383"/>
      <c r="S20" s="383"/>
      <c r="T20" s="384"/>
    </row>
    <row r="21" spans="2:20" x14ac:dyDescent="0.3">
      <c r="B21" s="388" t="s">
        <v>318</v>
      </c>
      <c r="C21" s="375">
        <v>1</v>
      </c>
      <c r="D21" s="380"/>
      <c r="E21" s="377">
        <v>1</v>
      </c>
      <c r="F21" s="378"/>
      <c r="G21" s="379">
        <f t="shared" si="23"/>
        <v>1</v>
      </c>
      <c r="H21" s="379">
        <f>ROUND(+(C21*E21*25)/50,0)</f>
        <v>1</v>
      </c>
      <c r="I21" s="379">
        <f>+ROUNDUP(C21*E21/3,0)</f>
        <v>1</v>
      </c>
      <c r="J21" s="379">
        <f t="shared" ref="J21" si="26">+ROUND(C21*E21*25*0.05,0)</f>
        <v>1</v>
      </c>
      <c r="K21" s="389">
        <f t="shared" ref="K21" si="27">+C21*E21*25</f>
        <v>25</v>
      </c>
      <c r="L21" s="379">
        <f>+C21*E21*4</f>
        <v>4</v>
      </c>
      <c r="M21" s="390"/>
      <c r="N21" s="382">
        <f t="shared" si="24"/>
        <v>2.6420079260237782E-2</v>
      </c>
      <c r="O21" s="380"/>
      <c r="P21" s="380">
        <f t="shared" si="5"/>
        <v>0.15</v>
      </c>
      <c r="Q21" s="383">
        <f t="shared" si="6"/>
        <v>1</v>
      </c>
      <c r="R21" s="383">
        <f t="shared" si="7"/>
        <v>6.6050198150594458E-2</v>
      </c>
      <c r="S21" s="383">
        <f t="shared" si="8"/>
        <v>6.25E-2</v>
      </c>
      <c r="T21" s="384">
        <f t="shared" si="9"/>
        <v>0.75</v>
      </c>
    </row>
    <row r="22" spans="2:20" x14ac:dyDescent="0.3">
      <c r="B22" s="388"/>
      <c r="C22" s="383"/>
      <c r="D22" s="380"/>
      <c r="E22" s="391"/>
      <c r="F22" s="378"/>
      <c r="G22" s="379"/>
      <c r="H22" s="379"/>
      <c r="I22" s="379"/>
      <c r="J22" s="379"/>
      <c r="K22" s="379"/>
      <c r="L22" s="380"/>
      <c r="M22" s="381"/>
      <c r="N22" s="382"/>
      <c r="O22" s="380"/>
      <c r="P22" s="380"/>
      <c r="Q22" s="383"/>
      <c r="R22" s="383"/>
      <c r="S22" s="383"/>
      <c r="T22" s="384"/>
    </row>
    <row r="23" spans="2:20" x14ac:dyDescent="0.3">
      <c r="B23" s="392" t="s">
        <v>193</v>
      </c>
      <c r="C23" s="393">
        <f>+SUM(C9:C22)</f>
        <v>8</v>
      </c>
      <c r="D23" s="394"/>
      <c r="E23" s="394" t="s">
        <v>193</v>
      </c>
      <c r="F23" s="395">
        <f t="shared" ref="F23:T23" si="28">+SUM(F9:F22)</f>
        <v>6</v>
      </c>
      <c r="G23" s="395">
        <f t="shared" si="28"/>
        <v>8</v>
      </c>
      <c r="H23" s="395">
        <f t="shared" si="28"/>
        <v>2</v>
      </c>
      <c r="I23" s="395">
        <f t="shared" si="28"/>
        <v>8</v>
      </c>
      <c r="J23" s="395">
        <f t="shared" si="28"/>
        <v>7</v>
      </c>
      <c r="K23" s="395">
        <f t="shared" si="28"/>
        <v>50</v>
      </c>
      <c r="L23" s="395">
        <f t="shared" si="28"/>
        <v>12</v>
      </c>
      <c r="M23" s="395">
        <f t="shared" si="28"/>
        <v>8</v>
      </c>
      <c r="N23" s="395">
        <f t="shared" si="28"/>
        <v>0.21136063408190228</v>
      </c>
      <c r="O23" s="395">
        <f t="shared" si="28"/>
        <v>0.11889035667107001</v>
      </c>
      <c r="P23" s="395">
        <f t="shared" si="28"/>
        <v>1.2</v>
      </c>
      <c r="Q23" s="395">
        <f t="shared" si="28"/>
        <v>8</v>
      </c>
      <c r="R23" s="395">
        <f t="shared" si="28"/>
        <v>0.52840158520475555</v>
      </c>
      <c r="S23" s="395">
        <f t="shared" si="28"/>
        <v>0.5</v>
      </c>
      <c r="T23" s="395">
        <f t="shared" si="28"/>
        <v>6</v>
      </c>
    </row>
    <row r="24" spans="2:20" x14ac:dyDescent="0.3">
      <c r="C24" s="375">
        <v>1</v>
      </c>
      <c r="D24" s="376"/>
      <c r="E24" s="377">
        <v>1</v>
      </c>
      <c r="F24" s="378"/>
      <c r="G24" s="379">
        <f>+ROUND((C24*E24*2)/3,0)</f>
        <v>1</v>
      </c>
      <c r="H24" s="379">
        <f>+(C24*E24*25)/50</f>
        <v>0.5</v>
      </c>
      <c r="I24" s="379">
        <f>+ROUNDUP(C24*E24/3,0)</f>
        <v>1</v>
      </c>
      <c r="J24" s="379"/>
      <c r="K24" s="389">
        <f>+C24*E24*25</f>
        <v>25</v>
      </c>
      <c r="L24" s="379">
        <f>+C24*E24*8</f>
        <v>8</v>
      </c>
      <c r="M24" s="390">
        <f>+C24*E24*8</f>
        <v>8</v>
      </c>
      <c r="N24" s="382">
        <f t="shared" ref="N24" si="29">+(C24*E24*4*25/1000)/3.785</f>
        <v>2.6420079260237782E-2</v>
      </c>
      <c r="O24" s="380"/>
      <c r="P24" s="380">
        <f>+C24*E24*6*25/1000</f>
        <v>0.15</v>
      </c>
      <c r="Q24" s="383">
        <f t="shared" ref="Q24" si="30">+ROUNDUP(C24*E24/2,0)</f>
        <v>1</v>
      </c>
      <c r="R24" s="383">
        <f t="shared" ref="R24" si="31">+C24*E24*10*25/3785</f>
        <v>6.6050198150594458E-2</v>
      </c>
      <c r="S24" s="383">
        <f t="shared" ref="S24" si="32">0.1*E24*C24*25/40</f>
        <v>6.25E-2</v>
      </c>
      <c r="T24" s="384">
        <f t="shared" ref="T24" si="33">+C24*E24*25*0.03</f>
        <v>0.75</v>
      </c>
    </row>
    <row r="25" spans="2:20" ht="15" thickBot="1" x14ac:dyDescent="0.35">
      <c r="B25" s="396" t="s">
        <v>319</v>
      </c>
      <c r="D25" s="394"/>
      <c r="E25" s="394"/>
      <c r="N25" s="397">
        <f>+ROUNDUP(N23/12,2)</f>
        <v>0.02</v>
      </c>
      <c r="O25" s="398">
        <f>+ROUNDUP(O23/12,2)</f>
        <v>0.01</v>
      </c>
      <c r="P25" s="398">
        <f>+ROUNDUP(P23/12/3.785,2)</f>
        <v>0.03</v>
      </c>
      <c r="Q25" s="398">
        <f>+ROUNDUP(Q23/12,2)</f>
        <v>0.67</v>
      </c>
      <c r="R25" s="398">
        <f>+ROUNDUP(R23/12,2)</f>
        <v>0.05</v>
      </c>
      <c r="S25" s="398">
        <f>+ROUNDUP(S23/12,2)</f>
        <v>0.05</v>
      </c>
      <c r="T25" s="399">
        <f>+ROUNDUP(T23/12,2)</f>
        <v>0.5</v>
      </c>
    </row>
    <row r="26" spans="2:20" x14ac:dyDescent="0.3">
      <c r="B26" s="396" t="s">
        <v>320</v>
      </c>
      <c r="F26" s="395">
        <f>+F23-F27</f>
        <v>6</v>
      </c>
      <c r="G26" s="395">
        <f>+G23-G27</f>
        <v>6</v>
      </c>
      <c r="H26" s="395">
        <f>+H23-H27</f>
        <v>0</v>
      </c>
      <c r="I26" s="395">
        <f>+I23-I27</f>
        <v>6</v>
      </c>
      <c r="J26" s="395">
        <f>+J23-J27</f>
        <v>6</v>
      </c>
      <c r="K26" s="395"/>
      <c r="L26" s="395">
        <f>+L23-L27</f>
        <v>0</v>
      </c>
      <c r="M26" s="395">
        <f>+M23-M27</f>
        <v>0</v>
      </c>
    </row>
    <row r="27" spans="2:20" x14ac:dyDescent="0.3">
      <c r="B27" s="396" t="s">
        <v>321</v>
      </c>
      <c r="F27" s="395">
        <f>+ROUNDUP(SUM(F17:F21),2)</f>
        <v>0</v>
      </c>
      <c r="G27" s="395">
        <f>+ROUNDUP(SUM(G17:G21),2)</f>
        <v>2</v>
      </c>
      <c r="H27" s="395">
        <f>+ROUNDUP(SUM(H17:H21),2)</f>
        <v>2</v>
      </c>
      <c r="I27" s="395">
        <f>+ROUNDUP(SUM(I17:I21),2)</f>
        <v>2</v>
      </c>
      <c r="J27" s="395">
        <f>+ROUNDUP(SUM(J17:J21),2)</f>
        <v>1</v>
      </c>
      <c r="K27" s="395">
        <f>+K23</f>
        <v>50</v>
      </c>
      <c r="L27" s="395">
        <f>+ROUNDUP(SUM(L17:L21),2)</f>
        <v>12</v>
      </c>
      <c r="M27" s="395">
        <f>+ROUNDUP(SUM(M17:M21),2)</f>
        <v>8</v>
      </c>
    </row>
    <row r="28" spans="2:20" x14ac:dyDescent="0.3">
      <c r="C28" s="400"/>
    </row>
    <row r="29" spans="2:20" x14ac:dyDescent="0.3">
      <c r="C29" s="400"/>
    </row>
    <row r="42" spans="6:6" x14ac:dyDescent="0.3">
      <c r="F42" s="359" t="s">
        <v>322</v>
      </c>
    </row>
  </sheetData>
  <mergeCells count="3">
    <mergeCell ref="B2:F2"/>
    <mergeCell ref="F7:M7"/>
    <mergeCell ref="N7:T7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6"/>
  <sheetViews>
    <sheetView workbookViewId="0">
      <selection activeCell="D11" sqref="D11"/>
    </sheetView>
  </sheetViews>
  <sheetFormatPr baseColWidth="10" defaultColWidth="11.44140625" defaultRowHeight="14.4" x14ac:dyDescent="0.3"/>
  <cols>
    <col min="1" max="1" width="3.109375" style="359" customWidth="1"/>
    <col min="2" max="2" width="43.109375" style="359" customWidth="1"/>
    <col min="3" max="3" width="10" style="359" customWidth="1"/>
    <col min="4" max="4" width="9.44140625" style="359" customWidth="1"/>
    <col min="5" max="5" width="10.44140625" style="359" customWidth="1"/>
    <col min="6" max="6" width="12.6640625" style="359" customWidth="1"/>
    <col min="7" max="7" width="9.88671875" style="359" bestFit="1" customWidth="1"/>
    <col min="8" max="8" width="12.44140625" style="359" customWidth="1"/>
    <col min="9" max="9" width="9.33203125" style="359" bestFit="1" customWidth="1"/>
    <col min="10" max="11" width="11.109375" style="359" customWidth="1"/>
    <col min="12" max="12" width="7.33203125" style="359" customWidth="1"/>
    <col min="13" max="13" width="8.5546875" style="359" customWidth="1"/>
    <col min="14" max="14" width="11.6640625" style="359" customWidth="1"/>
    <col min="15" max="15" width="10.6640625" style="359" customWidth="1"/>
    <col min="16" max="17" width="11.44140625" style="359"/>
    <col min="18" max="18" width="18" style="359" customWidth="1"/>
    <col min="19" max="19" width="13.33203125" style="359" customWidth="1"/>
    <col min="20" max="20" width="13.5546875" style="359" customWidth="1"/>
    <col min="21" max="21" width="5.88671875" style="359" customWidth="1"/>
    <col min="22" max="16384" width="11.44140625" style="359"/>
  </cols>
  <sheetData>
    <row r="2" spans="2:20" x14ac:dyDescent="0.3">
      <c r="B2" s="745" t="s">
        <v>289</v>
      </c>
      <c r="C2" s="745"/>
      <c r="D2" s="745"/>
      <c r="E2" s="745"/>
      <c r="F2" s="745"/>
    </row>
    <row r="3" spans="2:20" ht="15" customHeight="1" x14ac:dyDescent="0.3">
      <c r="B3" s="360"/>
      <c r="C3" s="360"/>
      <c r="D3" s="360"/>
      <c r="E3" s="360"/>
      <c r="F3" s="360"/>
      <c r="Q3" s="361"/>
    </row>
    <row r="4" spans="2:20" ht="15" customHeight="1" x14ac:dyDescent="0.3">
      <c r="B4" s="360"/>
      <c r="C4" s="360"/>
      <c r="D4" s="362" t="s">
        <v>290</v>
      </c>
      <c r="E4" s="363">
        <v>10</v>
      </c>
      <c r="F4" s="360"/>
    </row>
    <row r="5" spans="2:20" ht="15" customHeight="1" x14ac:dyDescent="0.3">
      <c r="B5" s="360"/>
      <c r="C5" s="360"/>
      <c r="D5" s="360"/>
      <c r="E5" s="360"/>
      <c r="F5" s="360"/>
    </row>
    <row r="6" spans="2:20" ht="15" customHeight="1" thickBot="1" x14ac:dyDescent="0.35">
      <c r="C6" s="360"/>
      <c r="D6" s="360"/>
      <c r="F6" s="364"/>
    </row>
    <row r="7" spans="2:20" x14ac:dyDescent="0.3">
      <c r="B7" s="365" t="s">
        <v>291</v>
      </c>
      <c r="C7" s="366"/>
      <c r="D7" s="367"/>
      <c r="E7" s="368"/>
      <c r="F7" s="746" t="s">
        <v>286</v>
      </c>
      <c r="G7" s="747"/>
      <c r="H7" s="747"/>
      <c r="I7" s="747"/>
      <c r="J7" s="747"/>
      <c r="K7" s="747"/>
      <c r="L7" s="747"/>
      <c r="M7" s="748"/>
      <c r="N7" s="749" t="s">
        <v>292</v>
      </c>
      <c r="O7" s="750"/>
      <c r="P7" s="750"/>
      <c r="Q7" s="750"/>
      <c r="R7" s="750"/>
      <c r="S7" s="750"/>
      <c r="T7" s="751"/>
    </row>
    <row r="8" spans="2:20" ht="42" customHeight="1" x14ac:dyDescent="0.3">
      <c r="B8" s="365" t="s">
        <v>293</v>
      </c>
      <c r="C8" s="369" t="s">
        <v>294</v>
      </c>
      <c r="D8" s="369" t="s">
        <v>295</v>
      </c>
      <c r="E8" s="370" t="s">
        <v>296</v>
      </c>
      <c r="F8" s="371" t="s">
        <v>297</v>
      </c>
      <c r="G8" s="372" t="s">
        <v>298</v>
      </c>
      <c r="H8" s="372" t="s">
        <v>299</v>
      </c>
      <c r="I8" s="372" t="s">
        <v>300</v>
      </c>
      <c r="J8" s="372" t="s">
        <v>301</v>
      </c>
      <c r="K8" s="372" t="s">
        <v>302</v>
      </c>
      <c r="L8" s="372" t="s">
        <v>303</v>
      </c>
      <c r="M8" s="373" t="s">
        <v>304</v>
      </c>
      <c r="N8" s="371" t="s">
        <v>305</v>
      </c>
      <c r="O8" s="372" t="s">
        <v>306</v>
      </c>
      <c r="P8" s="372" t="s">
        <v>307</v>
      </c>
      <c r="Q8" s="372" t="s">
        <v>308</v>
      </c>
      <c r="R8" s="372" t="s">
        <v>309</v>
      </c>
      <c r="S8" s="372" t="s">
        <v>310</v>
      </c>
      <c r="T8" s="373" t="s">
        <v>311</v>
      </c>
    </row>
    <row r="9" spans="2:20" x14ac:dyDescent="0.3">
      <c r="B9" s="374" t="s">
        <v>263</v>
      </c>
      <c r="C9" s="375">
        <v>1</v>
      </c>
      <c r="D9" s="376">
        <v>1</v>
      </c>
      <c r="E9" s="377">
        <v>2</v>
      </c>
      <c r="F9" s="378">
        <f>+(C9*E9*25*2)/50</f>
        <v>2</v>
      </c>
      <c r="G9" s="379">
        <f>+ROUND((C9*E9*2)/3,0)</f>
        <v>1</v>
      </c>
      <c r="H9" s="379"/>
      <c r="I9" s="379">
        <f>+ROUNDUP(C9*E9/3,0)</f>
        <v>1</v>
      </c>
      <c r="J9" s="379">
        <f>+ROUND(C9*E9*25*0.05,0)</f>
        <v>3</v>
      </c>
      <c r="K9" s="379"/>
      <c r="L9" s="380"/>
      <c r="M9" s="381"/>
      <c r="N9" s="382">
        <f>+(C9*E9*4*25/1000)/3.785</f>
        <v>5.2840158520475564E-2</v>
      </c>
      <c r="O9" s="383">
        <f>+(C9*E9*3*25/1000)/3.785</f>
        <v>3.9630118890356669E-2</v>
      </c>
      <c r="P9" s="383">
        <f>+C9*E9*6*25/1000</f>
        <v>0.3</v>
      </c>
      <c r="Q9" s="383">
        <f>+ROUNDUP(C9*E9/2,0)</f>
        <v>1</v>
      </c>
      <c r="R9" s="383">
        <f>+C9*E9*10*25/3785</f>
        <v>0.13210039630118892</v>
      </c>
      <c r="S9" s="383">
        <f>0.1*E9*C9*25/40</f>
        <v>0.125</v>
      </c>
      <c r="T9" s="384">
        <f>+C9*E9*25*0.03</f>
        <v>1.5</v>
      </c>
    </row>
    <row r="10" spans="2:20" x14ac:dyDescent="0.3">
      <c r="B10" s="374" t="s">
        <v>265</v>
      </c>
      <c r="C10" s="375">
        <v>1</v>
      </c>
      <c r="D10" s="376">
        <v>0.25</v>
      </c>
      <c r="E10" s="377">
        <v>2</v>
      </c>
      <c r="F10" s="378">
        <f>+(C10*E10*25*2)/50</f>
        <v>2</v>
      </c>
      <c r="G10" s="379">
        <f t="shared" ref="G10:G17" si="0">+ROUND((C10*E10*2)/3,0)</f>
        <v>1</v>
      </c>
      <c r="H10" s="379"/>
      <c r="I10" s="379">
        <f t="shared" ref="I10:I23" si="1">+ROUNDUP(C10*E10/3,0)</f>
        <v>1</v>
      </c>
      <c r="J10" s="379">
        <f t="shared" ref="J10:J17" si="2">+ROUND(C10*E10*25*0.05,0)</f>
        <v>3</v>
      </c>
      <c r="K10" s="379"/>
      <c r="L10" s="380"/>
      <c r="M10" s="381"/>
      <c r="N10" s="382">
        <f t="shared" ref="N10:N11" si="3">+(C10*E10*4*25/1000)/3.785</f>
        <v>5.2840158520475564E-2</v>
      </c>
      <c r="O10" s="383">
        <f t="shared" ref="O10:O11" si="4">+(C10*E10*3*25/1000)/3.785</f>
        <v>3.9630118890356669E-2</v>
      </c>
      <c r="P10" s="380">
        <f t="shared" ref="P10:P25" si="5">+C10*E10*6*25/1000</f>
        <v>0.3</v>
      </c>
      <c r="Q10" s="383">
        <f t="shared" ref="Q10:Q25" si="6">+ROUNDUP(C10*E10/2,0)</f>
        <v>1</v>
      </c>
      <c r="R10" s="383">
        <f t="shared" ref="R10:R25" si="7">+C10*E10*10*25/3785</f>
        <v>0.13210039630118892</v>
      </c>
      <c r="S10" s="383">
        <f t="shared" ref="S10:S25" si="8">0.1*E10*C10*25/40</f>
        <v>0.125</v>
      </c>
      <c r="T10" s="384">
        <f t="shared" ref="T10:T25" si="9">+C10*E10*25*0.03</f>
        <v>1.5</v>
      </c>
    </row>
    <row r="11" spans="2:20" x14ac:dyDescent="0.3">
      <c r="B11" s="374" t="s">
        <v>266</v>
      </c>
      <c r="C11" s="375">
        <v>1</v>
      </c>
      <c r="D11" s="376">
        <v>1</v>
      </c>
      <c r="E11" s="377">
        <v>2</v>
      </c>
      <c r="F11" s="378">
        <f>+(C11*E11*25*2)/50</f>
        <v>2</v>
      </c>
      <c r="G11" s="379">
        <f t="shared" si="0"/>
        <v>1</v>
      </c>
      <c r="H11" s="379"/>
      <c r="I11" s="379">
        <f t="shared" si="1"/>
        <v>1</v>
      </c>
      <c r="J11" s="379">
        <f t="shared" si="2"/>
        <v>3</v>
      </c>
      <c r="K11" s="379"/>
      <c r="L11" s="380"/>
      <c r="M11" s="381"/>
      <c r="N11" s="382">
        <f t="shared" si="3"/>
        <v>5.2840158520475564E-2</v>
      </c>
      <c r="O11" s="383">
        <f t="shared" si="4"/>
        <v>3.9630118890356669E-2</v>
      </c>
      <c r="P11" s="380">
        <f t="shared" si="5"/>
        <v>0.3</v>
      </c>
      <c r="Q11" s="383">
        <f t="shared" si="6"/>
        <v>1</v>
      </c>
      <c r="R11" s="383">
        <f t="shared" si="7"/>
        <v>0.13210039630118892</v>
      </c>
      <c r="S11" s="383">
        <f t="shared" si="8"/>
        <v>0.125</v>
      </c>
      <c r="T11" s="384">
        <f t="shared" si="9"/>
        <v>1.5</v>
      </c>
    </row>
    <row r="12" spans="2:20" x14ac:dyDescent="0.3">
      <c r="B12" s="374"/>
      <c r="C12" s="375"/>
      <c r="D12" s="376"/>
      <c r="E12" s="377"/>
      <c r="F12" s="378"/>
      <c r="G12" s="379"/>
      <c r="H12" s="379"/>
      <c r="I12" s="379"/>
      <c r="J12" s="379"/>
      <c r="K12" s="379"/>
      <c r="L12" s="380"/>
      <c r="M12" s="381"/>
      <c r="N12" s="382"/>
      <c r="O12" s="383"/>
      <c r="P12" s="380"/>
      <c r="Q12" s="383"/>
      <c r="R12" s="383"/>
      <c r="S12" s="383"/>
      <c r="T12" s="384"/>
    </row>
    <row r="13" spans="2:20" x14ac:dyDescent="0.3">
      <c r="B13" s="385" t="s">
        <v>312</v>
      </c>
      <c r="C13" s="375"/>
      <c r="D13" s="386"/>
      <c r="E13" s="387"/>
      <c r="F13" s="378"/>
      <c r="G13" s="379"/>
      <c r="H13" s="379"/>
      <c r="I13" s="379"/>
      <c r="J13" s="379"/>
      <c r="K13" s="379"/>
      <c r="L13" s="380"/>
      <c r="M13" s="381"/>
      <c r="N13" s="382"/>
      <c r="O13" s="383"/>
      <c r="P13" s="380"/>
      <c r="Q13" s="383"/>
      <c r="R13" s="383"/>
      <c r="S13" s="383"/>
      <c r="T13" s="384"/>
    </row>
    <row r="14" spans="2:20" x14ac:dyDescent="0.3">
      <c r="B14" s="374" t="s">
        <v>54</v>
      </c>
      <c r="C14" s="234">
        <v>1</v>
      </c>
      <c r="D14" s="233">
        <v>0.2</v>
      </c>
      <c r="E14" s="234">
        <v>2</v>
      </c>
      <c r="F14" s="378">
        <f t="shared" ref="F14:F17" si="10">+(C14*E14*25*2)/50</f>
        <v>2</v>
      </c>
      <c r="G14" s="379">
        <f t="shared" si="0"/>
        <v>1</v>
      </c>
      <c r="H14" s="379"/>
      <c r="I14" s="379">
        <f t="shared" si="1"/>
        <v>1</v>
      </c>
      <c r="J14" s="379">
        <f t="shared" si="2"/>
        <v>3</v>
      </c>
      <c r="K14" s="379"/>
      <c r="L14" s="380"/>
      <c r="M14" s="381"/>
      <c r="N14" s="382">
        <f t="shared" ref="N14:N17" si="11">+(C14*E14*4*25/1000)/3.785</f>
        <v>5.2840158520475564E-2</v>
      </c>
      <c r="O14" s="383">
        <f t="shared" ref="O14:O17" si="12">+(C14*E14*3*25/1000)/3.785</f>
        <v>3.9630118890356669E-2</v>
      </c>
      <c r="P14" s="380">
        <f t="shared" si="5"/>
        <v>0.3</v>
      </c>
      <c r="Q14" s="383">
        <f t="shared" si="6"/>
        <v>1</v>
      </c>
      <c r="R14" s="383">
        <f t="shared" si="7"/>
        <v>0.13210039630118892</v>
      </c>
      <c r="S14" s="383">
        <f t="shared" si="8"/>
        <v>0.125</v>
      </c>
      <c r="T14" s="384">
        <f t="shared" si="9"/>
        <v>1.5</v>
      </c>
    </row>
    <row r="15" spans="2:20" x14ac:dyDescent="0.3">
      <c r="B15" s="374" t="s">
        <v>55</v>
      </c>
      <c r="C15" s="234">
        <v>1</v>
      </c>
      <c r="D15" s="233">
        <v>0.2</v>
      </c>
      <c r="E15" s="234">
        <v>2</v>
      </c>
      <c r="F15" s="378">
        <f t="shared" si="10"/>
        <v>2</v>
      </c>
      <c r="G15" s="379">
        <f t="shared" si="0"/>
        <v>1</v>
      </c>
      <c r="H15" s="379"/>
      <c r="I15" s="379">
        <f t="shared" si="1"/>
        <v>1</v>
      </c>
      <c r="J15" s="379">
        <f t="shared" si="2"/>
        <v>3</v>
      </c>
      <c r="K15" s="379"/>
      <c r="L15" s="380"/>
      <c r="M15" s="381"/>
      <c r="N15" s="382">
        <f t="shared" si="11"/>
        <v>5.2840158520475564E-2</v>
      </c>
      <c r="O15" s="383">
        <f t="shared" si="12"/>
        <v>3.9630118890356669E-2</v>
      </c>
      <c r="P15" s="380">
        <f t="shared" si="5"/>
        <v>0.3</v>
      </c>
      <c r="Q15" s="383">
        <f t="shared" si="6"/>
        <v>1</v>
      </c>
      <c r="R15" s="383">
        <f t="shared" si="7"/>
        <v>0.13210039630118892</v>
      </c>
      <c r="S15" s="383">
        <f t="shared" si="8"/>
        <v>0.125</v>
      </c>
      <c r="T15" s="384">
        <f t="shared" si="9"/>
        <v>1.5</v>
      </c>
    </row>
    <row r="16" spans="2:20" x14ac:dyDescent="0.3">
      <c r="B16" s="374"/>
      <c r="C16" s="234"/>
      <c r="D16" s="233"/>
      <c r="E16" s="234"/>
      <c r="F16" s="378"/>
      <c r="G16" s="379"/>
      <c r="H16" s="379"/>
      <c r="I16" s="379"/>
      <c r="J16" s="379"/>
      <c r="K16" s="379"/>
      <c r="L16" s="380"/>
      <c r="M16" s="381"/>
      <c r="N16" s="382"/>
      <c r="O16" s="383"/>
      <c r="P16" s="380"/>
      <c r="Q16" s="383"/>
      <c r="R16" s="383"/>
      <c r="S16" s="383"/>
      <c r="T16" s="384"/>
    </row>
    <row r="17" spans="2:20" x14ac:dyDescent="0.3">
      <c r="B17" s="374" t="s">
        <v>56</v>
      </c>
      <c r="C17" s="321">
        <v>1</v>
      </c>
      <c r="D17" s="322">
        <v>0.2</v>
      </c>
      <c r="E17" s="234">
        <v>2</v>
      </c>
      <c r="F17" s="378">
        <f t="shared" si="10"/>
        <v>2</v>
      </c>
      <c r="G17" s="379">
        <f t="shared" si="0"/>
        <v>1</v>
      </c>
      <c r="H17" s="379"/>
      <c r="I17" s="379">
        <f t="shared" si="1"/>
        <v>1</v>
      </c>
      <c r="J17" s="379">
        <f t="shared" si="2"/>
        <v>3</v>
      </c>
      <c r="K17" s="379"/>
      <c r="L17" s="380"/>
      <c r="M17" s="381"/>
      <c r="N17" s="382">
        <f t="shared" si="11"/>
        <v>5.2840158520475564E-2</v>
      </c>
      <c r="O17" s="383">
        <f t="shared" si="12"/>
        <v>3.9630118890356669E-2</v>
      </c>
      <c r="P17" s="380">
        <f t="shared" si="5"/>
        <v>0.3</v>
      </c>
      <c r="Q17" s="383">
        <f t="shared" si="6"/>
        <v>1</v>
      </c>
      <c r="R17" s="383">
        <f t="shared" si="7"/>
        <v>0.13210039630118892</v>
      </c>
      <c r="S17" s="383">
        <f t="shared" si="8"/>
        <v>0.125</v>
      </c>
      <c r="T17" s="384">
        <f t="shared" si="9"/>
        <v>1.5</v>
      </c>
    </row>
    <row r="18" spans="2:20" x14ac:dyDescent="0.3">
      <c r="B18" s="374"/>
      <c r="C18" s="375"/>
      <c r="D18" s="376"/>
      <c r="E18" s="377"/>
      <c r="F18" s="378"/>
      <c r="G18" s="379"/>
      <c r="H18" s="379"/>
      <c r="I18" s="379"/>
      <c r="J18" s="379"/>
      <c r="K18" s="379"/>
      <c r="L18" s="380"/>
      <c r="M18" s="381"/>
      <c r="N18" s="382"/>
      <c r="O18" s="383"/>
      <c r="P18" s="380"/>
      <c r="Q18" s="383"/>
      <c r="R18" s="383"/>
      <c r="S18" s="383"/>
      <c r="T18" s="384"/>
    </row>
    <row r="19" spans="2:20" x14ac:dyDescent="0.3">
      <c r="B19" s="374"/>
      <c r="C19" s="375"/>
      <c r="D19" s="376"/>
      <c r="E19" s="377"/>
      <c r="F19" s="378"/>
      <c r="G19" s="379"/>
      <c r="H19" s="379"/>
      <c r="I19" s="379"/>
      <c r="J19" s="379"/>
      <c r="K19" s="379"/>
      <c r="L19" s="380"/>
      <c r="M19" s="381"/>
      <c r="N19" s="382"/>
      <c r="O19" s="383"/>
      <c r="P19" s="380"/>
      <c r="Q19" s="383"/>
      <c r="R19" s="383"/>
      <c r="S19" s="383"/>
      <c r="T19" s="384"/>
    </row>
    <row r="20" spans="2:20" x14ac:dyDescent="0.3">
      <c r="B20" s="385" t="s">
        <v>313</v>
      </c>
      <c r="C20" s="375"/>
      <c r="D20" s="376"/>
      <c r="E20" s="377"/>
      <c r="F20" s="378"/>
      <c r="G20" s="379"/>
      <c r="H20" s="379"/>
      <c r="I20" s="379"/>
      <c r="J20" s="379"/>
      <c r="K20" s="379"/>
      <c r="L20" s="380"/>
      <c r="M20" s="381"/>
      <c r="N20" s="382"/>
      <c r="O20" s="380"/>
      <c r="P20" s="380"/>
      <c r="Q20" s="383"/>
      <c r="R20" s="383"/>
      <c r="S20" s="383"/>
      <c r="T20" s="384"/>
    </row>
    <row r="21" spans="2:20" x14ac:dyDescent="0.3">
      <c r="B21" s="388" t="s">
        <v>314</v>
      </c>
      <c r="C21" s="375">
        <v>0</v>
      </c>
      <c r="D21" s="376"/>
      <c r="E21" s="377">
        <v>2</v>
      </c>
      <c r="F21" s="378"/>
      <c r="G21" s="379">
        <f t="shared" ref="G21:G25" si="13">+ROUND((C21*E21*2)/3,0)</f>
        <v>0</v>
      </c>
      <c r="H21" s="379">
        <f>+(C21*E21*25)/50</f>
        <v>0</v>
      </c>
      <c r="I21" s="379">
        <f t="shared" si="1"/>
        <v>0</v>
      </c>
      <c r="J21" s="379"/>
      <c r="K21" s="389">
        <f>+C21*E21*25</f>
        <v>0</v>
      </c>
      <c r="L21" s="379">
        <f>+C21*E21*8</f>
        <v>0</v>
      </c>
      <c r="M21" s="390">
        <f>+C21*E21*8</f>
        <v>0</v>
      </c>
      <c r="N21" s="382">
        <f t="shared" ref="N21:N25" si="14">+(C21*E21*4*25/1000)/3.785</f>
        <v>0</v>
      </c>
      <c r="O21" s="380"/>
      <c r="P21" s="380">
        <f t="shared" si="5"/>
        <v>0</v>
      </c>
      <c r="Q21" s="383">
        <f t="shared" si="6"/>
        <v>0</v>
      </c>
      <c r="R21" s="383">
        <f t="shared" si="7"/>
        <v>0</v>
      </c>
      <c r="S21" s="383">
        <f t="shared" si="8"/>
        <v>0</v>
      </c>
      <c r="T21" s="384">
        <f t="shared" si="9"/>
        <v>0</v>
      </c>
    </row>
    <row r="22" spans="2:20" x14ac:dyDescent="0.3">
      <c r="B22" s="388" t="s">
        <v>315</v>
      </c>
      <c r="C22" s="375">
        <v>0</v>
      </c>
      <c r="D22" s="376"/>
      <c r="E22" s="377">
        <v>2</v>
      </c>
      <c r="F22" s="378"/>
      <c r="G22" s="379">
        <f t="shared" si="13"/>
        <v>0</v>
      </c>
      <c r="H22" s="379">
        <f t="shared" ref="H22" si="15">+(C22*E22*25)/50</f>
        <v>0</v>
      </c>
      <c r="I22" s="379">
        <f t="shared" si="1"/>
        <v>0</v>
      </c>
      <c r="J22" s="379"/>
      <c r="K22" s="389">
        <f>+C22*E22*25</f>
        <v>0</v>
      </c>
      <c r="L22" s="379">
        <f>+C22*E22*8</f>
        <v>0</v>
      </c>
      <c r="M22" s="390">
        <f>+C22*E22*8</f>
        <v>0</v>
      </c>
      <c r="N22" s="382">
        <f t="shared" si="14"/>
        <v>0</v>
      </c>
      <c r="O22" s="380"/>
      <c r="P22" s="380">
        <f t="shared" si="5"/>
        <v>0</v>
      </c>
      <c r="Q22" s="383">
        <f t="shared" si="6"/>
        <v>0</v>
      </c>
      <c r="R22" s="383">
        <f t="shared" si="7"/>
        <v>0</v>
      </c>
      <c r="S22" s="383">
        <f t="shared" si="8"/>
        <v>0</v>
      </c>
      <c r="T22" s="384">
        <f t="shared" si="9"/>
        <v>0</v>
      </c>
    </row>
    <row r="23" spans="2:20" x14ac:dyDescent="0.3">
      <c r="B23" s="388" t="s">
        <v>316</v>
      </c>
      <c r="C23" s="375">
        <v>1</v>
      </c>
      <c r="D23" s="376"/>
      <c r="E23" s="377">
        <v>2</v>
      </c>
      <c r="F23" s="378"/>
      <c r="G23" s="379">
        <f t="shared" si="13"/>
        <v>1</v>
      </c>
      <c r="H23" s="379">
        <f>ROUND(+(C23*E23*25)/50,0)</f>
        <v>1</v>
      </c>
      <c r="I23" s="379">
        <f t="shared" si="1"/>
        <v>1</v>
      </c>
      <c r="J23" s="379"/>
      <c r="K23" s="389">
        <f>+C23*E23*25</f>
        <v>50</v>
      </c>
      <c r="L23" s="379">
        <f>+C23*E23*8</f>
        <v>16</v>
      </c>
      <c r="M23" s="390">
        <f>+C23*E23*8</f>
        <v>16</v>
      </c>
      <c r="N23" s="382">
        <f t="shared" si="14"/>
        <v>5.2840158520475564E-2</v>
      </c>
      <c r="O23" s="380"/>
      <c r="P23" s="380">
        <f t="shared" si="5"/>
        <v>0.3</v>
      </c>
      <c r="Q23" s="383">
        <f t="shared" si="6"/>
        <v>1</v>
      </c>
      <c r="R23" s="383">
        <f t="shared" si="7"/>
        <v>0.13210039630118892</v>
      </c>
      <c r="S23" s="383">
        <f t="shared" si="8"/>
        <v>0.125</v>
      </c>
      <c r="T23" s="384">
        <f t="shared" si="9"/>
        <v>1.5</v>
      </c>
    </row>
    <row r="24" spans="2:20" x14ac:dyDescent="0.3">
      <c r="B24" s="385" t="s">
        <v>317</v>
      </c>
      <c r="C24" s="375"/>
      <c r="D24" s="376"/>
      <c r="E24" s="377"/>
      <c r="F24" s="378"/>
      <c r="G24" s="379"/>
      <c r="H24" s="379"/>
      <c r="I24" s="379"/>
      <c r="J24" s="379"/>
      <c r="K24" s="389"/>
      <c r="L24" s="379"/>
      <c r="M24" s="390"/>
      <c r="N24" s="382"/>
      <c r="O24" s="380"/>
      <c r="P24" s="380"/>
      <c r="Q24" s="383"/>
      <c r="R24" s="383"/>
      <c r="S24" s="383"/>
      <c r="T24" s="384"/>
    </row>
    <row r="25" spans="2:20" x14ac:dyDescent="0.3">
      <c r="B25" s="388" t="s">
        <v>318</v>
      </c>
      <c r="C25" s="375">
        <v>1</v>
      </c>
      <c r="D25" s="380"/>
      <c r="E25" s="377">
        <v>2</v>
      </c>
      <c r="F25" s="378"/>
      <c r="G25" s="379">
        <f t="shared" si="13"/>
        <v>1</v>
      </c>
      <c r="H25" s="379">
        <f>ROUND(+(C25*E25*25)/50,0)</f>
        <v>1</v>
      </c>
      <c r="I25" s="379">
        <f>+ROUNDUP(C25*E25/3,0)</f>
        <v>1</v>
      </c>
      <c r="J25" s="379">
        <f t="shared" ref="J25" si="16">+ROUND(C25*E25*25*0.05,0)</f>
        <v>3</v>
      </c>
      <c r="K25" s="389">
        <f t="shared" ref="K25" si="17">+C25*E25*25</f>
        <v>50</v>
      </c>
      <c r="L25" s="379">
        <f>+C25*E25*4</f>
        <v>8</v>
      </c>
      <c r="M25" s="390"/>
      <c r="N25" s="382">
        <f t="shared" si="14"/>
        <v>5.2840158520475564E-2</v>
      </c>
      <c r="O25" s="380"/>
      <c r="P25" s="380">
        <f t="shared" si="5"/>
        <v>0.3</v>
      </c>
      <c r="Q25" s="383">
        <f t="shared" si="6"/>
        <v>1</v>
      </c>
      <c r="R25" s="383">
        <f t="shared" si="7"/>
        <v>0.13210039630118892</v>
      </c>
      <c r="S25" s="383">
        <f t="shared" si="8"/>
        <v>0.125</v>
      </c>
      <c r="T25" s="384">
        <f t="shared" si="9"/>
        <v>1.5</v>
      </c>
    </row>
    <row r="26" spans="2:20" x14ac:dyDescent="0.3">
      <c r="B26" s="388"/>
      <c r="C26" s="383"/>
      <c r="D26" s="380"/>
      <c r="E26" s="391"/>
      <c r="F26" s="378"/>
      <c r="G26" s="379"/>
      <c r="H26" s="379"/>
      <c r="I26" s="379"/>
      <c r="J26" s="379"/>
      <c r="K26" s="379"/>
      <c r="L26" s="380"/>
      <c r="M26" s="381"/>
      <c r="N26" s="382"/>
      <c r="O26" s="380"/>
      <c r="P26" s="380"/>
      <c r="Q26" s="383"/>
      <c r="R26" s="383"/>
      <c r="S26" s="383"/>
      <c r="T26" s="384"/>
    </row>
    <row r="27" spans="2:20" x14ac:dyDescent="0.3">
      <c r="B27" s="392" t="s">
        <v>193</v>
      </c>
      <c r="C27" s="393">
        <f>+SUM(C9:C26)</f>
        <v>8</v>
      </c>
      <c r="D27" s="394"/>
      <c r="E27" s="394" t="s">
        <v>193</v>
      </c>
      <c r="F27" s="395">
        <f t="shared" ref="F27:T27" si="18">+SUM(F9:F26)</f>
        <v>12</v>
      </c>
      <c r="G27" s="395">
        <f t="shared" si="18"/>
        <v>8</v>
      </c>
      <c r="H27" s="395">
        <f t="shared" si="18"/>
        <v>2</v>
      </c>
      <c r="I27" s="395">
        <f t="shared" si="18"/>
        <v>8</v>
      </c>
      <c r="J27" s="395">
        <f t="shared" si="18"/>
        <v>21</v>
      </c>
      <c r="K27" s="395">
        <f t="shared" si="18"/>
        <v>100</v>
      </c>
      <c r="L27" s="395">
        <f t="shared" si="18"/>
        <v>24</v>
      </c>
      <c r="M27" s="395">
        <f t="shared" si="18"/>
        <v>16</v>
      </c>
      <c r="N27" s="395">
        <f t="shared" si="18"/>
        <v>0.42272126816380456</v>
      </c>
      <c r="O27" s="395">
        <f t="shared" si="18"/>
        <v>0.23778071334214002</v>
      </c>
      <c r="P27" s="395">
        <f t="shared" si="18"/>
        <v>2.4</v>
      </c>
      <c r="Q27" s="395">
        <f t="shared" si="18"/>
        <v>8</v>
      </c>
      <c r="R27" s="395">
        <f t="shared" si="18"/>
        <v>1.0568031704095111</v>
      </c>
      <c r="S27" s="395">
        <f t="shared" si="18"/>
        <v>1</v>
      </c>
      <c r="T27" s="395">
        <f t="shared" si="18"/>
        <v>12</v>
      </c>
    </row>
    <row r="28" spans="2:20" x14ac:dyDescent="0.3">
      <c r="C28" s="375">
        <v>1</v>
      </c>
      <c r="D28" s="376"/>
      <c r="E28" s="377">
        <v>2</v>
      </c>
      <c r="F28" s="378"/>
      <c r="G28" s="379">
        <f>+ROUND((C28*E28*2)/3,0)</f>
        <v>1</v>
      </c>
      <c r="H28" s="379">
        <f>+(C28*E28*25)/50</f>
        <v>1</v>
      </c>
      <c r="I28" s="379">
        <f>+ROUNDUP(C28*E28/3,0)</f>
        <v>1</v>
      </c>
      <c r="J28" s="379"/>
      <c r="K28" s="389">
        <f>+C28*E28*25</f>
        <v>50</v>
      </c>
      <c r="L28" s="379">
        <f>+C28*E28*8</f>
        <v>16</v>
      </c>
      <c r="M28" s="390">
        <f>+C28*E28*8</f>
        <v>16</v>
      </c>
      <c r="N28" s="382">
        <f t="shared" ref="N28" si="19">+(C28*E28*4*25/1000)/3.785</f>
        <v>5.2840158520475564E-2</v>
      </c>
      <c r="O28" s="380"/>
      <c r="P28" s="380">
        <f>+C28*E28*6*25/1000</f>
        <v>0.3</v>
      </c>
      <c r="Q28" s="383">
        <f t="shared" ref="Q28" si="20">+ROUNDUP(C28*E28/2,0)</f>
        <v>1</v>
      </c>
      <c r="R28" s="383">
        <f t="shared" ref="R28" si="21">+C28*E28*10*25/3785</f>
        <v>0.13210039630118892</v>
      </c>
      <c r="S28" s="383">
        <f t="shared" ref="S28" si="22">0.1*E28*C28*25/40</f>
        <v>0.125</v>
      </c>
      <c r="T28" s="384">
        <f t="shared" ref="T28" si="23">+C28*E28*25*0.03</f>
        <v>1.5</v>
      </c>
    </row>
    <row r="29" spans="2:20" ht="15" thickBot="1" x14ac:dyDescent="0.35">
      <c r="B29" s="396" t="s">
        <v>319</v>
      </c>
      <c r="D29" s="394"/>
      <c r="E29" s="394"/>
      <c r="N29" s="397">
        <f>+ROUNDUP(N27/12,2)</f>
        <v>0.04</v>
      </c>
      <c r="O29" s="398">
        <f>+ROUNDUP(O27/12,2)</f>
        <v>0.02</v>
      </c>
      <c r="P29" s="398">
        <f>+ROUNDUP(P27/12/3.785,2)</f>
        <v>6.0000000000000005E-2</v>
      </c>
      <c r="Q29" s="398">
        <f>+ROUNDUP(Q27/12,2)</f>
        <v>0.67</v>
      </c>
      <c r="R29" s="398">
        <f>+ROUNDUP(R27/12,2)</f>
        <v>0.09</v>
      </c>
      <c r="S29" s="398">
        <f>+ROUNDUP(S27/12,2)</f>
        <v>0.09</v>
      </c>
      <c r="T29" s="399">
        <f>+ROUNDUP(T27/12,2)</f>
        <v>1</v>
      </c>
    </row>
    <row r="30" spans="2:20" x14ac:dyDescent="0.3">
      <c r="B30" s="396" t="s">
        <v>320</v>
      </c>
      <c r="F30" s="395">
        <f>+F27-F31</f>
        <v>12</v>
      </c>
      <c r="G30" s="395">
        <f>+G27-G31</f>
        <v>6</v>
      </c>
      <c r="H30" s="395">
        <f>+H27-H31</f>
        <v>0</v>
      </c>
      <c r="I30" s="395">
        <f>+I27-I31</f>
        <v>6</v>
      </c>
      <c r="J30" s="395">
        <f>+J27-J31</f>
        <v>18</v>
      </c>
      <c r="K30" s="395"/>
      <c r="L30" s="395">
        <f>+L27-L31</f>
        <v>0</v>
      </c>
      <c r="M30" s="395">
        <f>+M27-M31</f>
        <v>0</v>
      </c>
    </row>
    <row r="31" spans="2:20" x14ac:dyDescent="0.3">
      <c r="B31" s="396" t="s">
        <v>321</v>
      </c>
      <c r="F31" s="395">
        <f>+ROUNDUP(SUM(F21:F25),2)</f>
        <v>0</v>
      </c>
      <c r="G31" s="395">
        <f>+ROUNDUP(SUM(G21:G25),2)</f>
        <v>2</v>
      </c>
      <c r="H31" s="395">
        <f>+ROUNDUP(SUM(H21:H25),2)</f>
        <v>2</v>
      </c>
      <c r="I31" s="395">
        <f>+ROUNDUP(SUM(I21:I25),2)</f>
        <v>2</v>
      </c>
      <c r="J31" s="395">
        <f>+ROUNDUP(SUM(J21:J25),2)</f>
        <v>3</v>
      </c>
      <c r="K31" s="395">
        <f>+K27</f>
        <v>100</v>
      </c>
      <c r="L31" s="395">
        <f>+ROUNDUP(SUM(L21:L25),2)</f>
        <v>24</v>
      </c>
      <c r="M31" s="395">
        <f>+ROUNDUP(SUM(M21:M25),2)</f>
        <v>16</v>
      </c>
    </row>
    <row r="32" spans="2:20" x14ac:dyDescent="0.3">
      <c r="C32" s="400"/>
    </row>
    <row r="33" spans="3:6" x14ac:dyDescent="0.3">
      <c r="C33" s="400"/>
    </row>
    <row r="46" spans="3:6" x14ac:dyDescent="0.3">
      <c r="F46" s="359" t="s">
        <v>322</v>
      </c>
    </row>
  </sheetData>
  <mergeCells count="3">
    <mergeCell ref="B2:F2"/>
    <mergeCell ref="F7:M7"/>
    <mergeCell ref="N7:T7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1"/>
  <sheetViews>
    <sheetView topLeftCell="A7" workbookViewId="0">
      <selection activeCell="E27" sqref="E27"/>
    </sheetView>
  </sheetViews>
  <sheetFormatPr baseColWidth="10" defaultColWidth="11.44140625" defaultRowHeight="14.4" x14ac:dyDescent="0.3"/>
  <cols>
    <col min="1" max="1" width="3.109375" style="359" customWidth="1"/>
    <col min="2" max="2" width="43.109375" style="359" customWidth="1"/>
    <col min="3" max="3" width="10" style="359" customWidth="1"/>
    <col min="4" max="4" width="9.44140625" style="359" customWidth="1"/>
    <col min="5" max="5" width="10.44140625" style="359" customWidth="1"/>
    <col min="6" max="6" width="12.6640625" style="359" customWidth="1"/>
    <col min="7" max="7" width="9.88671875" style="359" bestFit="1" customWidth="1"/>
    <col min="8" max="8" width="12.44140625" style="359" customWidth="1"/>
    <col min="9" max="9" width="9.33203125" style="359" bestFit="1" customWidth="1"/>
    <col min="10" max="11" width="11.109375" style="359" customWidth="1"/>
    <col min="12" max="12" width="7.33203125" style="359" customWidth="1"/>
    <col min="13" max="13" width="8.5546875" style="359" customWidth="1"/>
    <col min="14" max="14" width="11.6640625" style="359" customWidth="1"/>
    <col min="15" max="15" width="10.6640625" style="359" customWidth="1"/>
    <col min="16" max="17" width="11.44140625" style="359"/>
    <col min="18" max="18" width="18" style="359" customWidth="1"/>
    <col min="19" max="19" width="13.33203125" style="359" customWidth="1"/>
    <col min="20" max="20" width="13.5546875" style="359" customWidth="1"/>
    <col min="21" max="21" width="5.88671875" style="359" customWidth="1"/>
    <col min="22" max="16384" width="11.44140625" style="359"/>
  </cols>
  <sheetData>
    <row r="2" spans="2:20" x14ac:dyDescent="0.3">
      <c r="B2" s="745" t="s">
        <v>289</v>
      </c>
      <c r="C2" s="745"/>
      <c r="D2" s="745"/>
      <c r="E2" s="745"/>
      <c r="F2" s="745"/>
    </row>
    <row r="3" spans="2:20" ht="15" customHeight="1" x14ac:dyDescent="0.3">
      <c r="B3" s="360"/>
      <c r="C3" s="360"/>
      <c r="D3" s="360"/>
      <c r="E3" s="360"/>
      <c r="F3" s="360"/>
      <c r="Q3" s="361"/>
    </row>
    <row r="4" spans="2:20" ht="15" customHeight="1" x14ac:dyDescent="0.3">
      <c r="B4" s="360"/>
      <c r="C4" s="360"/>
      <c r="D4" s="362" t="s">
        <v>290</v>
      </c>
      <c r="E4" s="363">
        <v>10</v>
      </c>
      <c r="F4" s="360"/>
    </row>
    <row r="5" spans="2:20" ht="15" customHeight="1" x14ac:dyDescent="0.3">
      <c r="B5" s="360"/>
      <c r="C5" s="360"/>
      <c r="D5" s="360"/>
      <c r="E5" s="360"/>
      <c r="F5" s="360"/>
    </row>
    <row r="6" spans="2:20" ht="15" customHeight="1" thickBot="1" x14ac:dyDescent="0.35">
      <c r="C6" s="360"/>
      <c r="D6" s="360"/>
      <c r="F6" s="364"/>
    </row>
    <row r="7" spans="2:20" x14ac:dyDescent="0.3">
      <c r="B7" s="365" t="s">
        <v>291</v>
      </c>
      <c r="C7" s="366"/>
      <c r="D7" s="367"/>
      <c r="E7" s="368"/>
      <c r="F7" s="746" t="s">
        <v>286</v>
      </c>
      <c r="G7" s="747"/>
      <c r="H7" s="747"/>
      <c r="I7" s="747"/>
      <c r="J7" s="747"/>
      <c r="K7" s="747"/>
      <c r="L7" s="747"/>
      <c r="M7" s="748"/>
      <c r="N7" s="749" t="s">
        <v>292</v>
      </c>
      <c r="O7" s="750"/>
      <c r="P7" s="750"/>
      <c r="Q7" s="750"/>
      <c r="R7" s="750"/>
      <c r="S7" s="750"/>
      <c r="T7" s="751"/>
    </row>
    <row r="8" spans="2:20" ht="42" customHeight="1" x14ac:dyDescent="0.3">
      <c r="B8" s="365" t="s">
        <v>293</v>
      </c>
      <c r="C8" s="369" t="s">
        <v>294</v>
      </c>
      <c r="D8" s="369" t="s">
        <v>295</v>
      </c>
      <c r="E8" s="370" t="s">
        <v>296</v>
      </c>
      <c r="F8" s="371" t="s">
        <v>297</v>
      </c>
      <c r="G8" s="372" t="s">
        <v>298</v>
      </c>
      <c r="H8" s="372" t="s">
        <v>299</v>
      </c>
      <c r="I8" s="372" t="s">
        <v>300</v>
      </c>
      <c r="J8" s="372" t="s">
        <v>301</v>
      </c>
      <c r="K8" s="372" t="s">
        <v>302</v>
      </c>
      <c r="L8" s="372" t="s">
        <v>303</v>
      </c>
      <c r="M8" s="373" t="s">
        <v>304</v>
      </c>
      <c r="N8" s="371" t="s">
        <v>305</v>
      </c>
      <c r="O8" s="372" t="s">
        <v>306</v>
      </c>
      <c r="P8" s="372" t="s">
        <v>307</v>
      </c>
      <c r="Q8" s="372" t="s">
        <v>308</v>
      </c>
      <c r="R8" s="372" t="s">
        <v>309</v>
      </c>
      <c r="S8" s="372" t="s">
        <v>310</v>
      </c>
      <c r="T8" s="373" t="s">
        <v>311</v>
      </c>
    </row>
    <row r="9" spans="2:20" x14ac:dyDescent="0.3">
      <c r="B9" s="604" t="s">
        <v>511</v>
      </c>
      <c r="C9" s="232">
        <v>1</v>
      </c>
      <c r="D9" s="233">
        <v>1</v>
      </c>
      <c r="E9" s="234">
        <v>10</v>
      </c>
      <c r="F9" s="378">
        <f>+(C9*E9*25*2)/50</f>
        <v>10</v>
      </c>
      <c r="G9" s="379">
        <f>+ROUND((C9*E9*2)/3,0)</f>
        <v>7</v>
      </c>
      <c r="H9" s="379"/>
      <c r="I9" s="379">
        <f>+ROUNDUP(C9*E9/3,0)</f>
        <v>4</v>
      </c>
      <c r="J9" s="379">
        <f>+ROUND(C9*E9*25*0.05,0)</f>
        <v>13</v>
      </c>
      <c r="K9" s="379"/>
      <c r="L9" s="380"/>
      <c r="M9" s="381"/>
      <c r="N9" s="382">
        <f>+(C9*E9*4*25/1000)/3.785</f>
        <v>0.26420079260237778</v>
      </c>
      <c r="O9" s="383">
        <f>+(C9*E9*3*25/1000)/3.785</f>
        <v>0.19815059445178335</v>
      </c>
      <c r="P9" s="383">
        <f>+C9*E9*6*25/1000</f>
        <v>1.5</v>
      </c>
      <c r="Q9" s="383">
        <f>+ROUNDUP(C9*E9/2,0)</f>
        <v>5</v>
      </c>
      <c r="R9" s="383">
        <f>+C9*E9*10*25/3785</f>
        <v>0.66050198150594452</v>
      </c>
      <c r="S9" s="383">
        <f>0.1*E9*C9*25/40</f>
        <v>0.625</v>
      </c>
      <c r="T9" s="384">
        <f>+C9*E9*25*0.03</f>
        <v>7.5</v>
      </c>
    </row>
    <row r="10" spans="2:20" x14ac:dyDescent="0.3">
      <c r="B10" s="604" t="s">
        <v>512</v>
      </c>
      <c r="C10" s="232">
        <v>1</v>
      </c>
      <c r="D10" s="600">
        <v>0.5</v>
      </c>
      <c r="E10" s="234">
        <v>10</v>
      </c>
      <c r="F10" s="378">
        <f>+(C10*E10*25*2)/50</f>
        <v>10</v>
      </c>
      <c r="G10" s="379">
        <f>+ROUND((C10*E10*2)/3,0)</f>
        <v>7</v>
      </c>
      <c r="H10" s="379"/>
      <c r="I10" s="379">
        <f t="shared" ref="I10:I38" si="0">+ROUNDUP(C10*E10/3,0)</f>
        <v>4</v>
      </c>
      <c r="J10" s="379">
        <f>+ROUND(C10*E10*25*0.05,0)</f>
        <v>13</v>
      </c>
      <c r="K10" s="379"/>
      <c r="L10" s="380"/>
      <c r="M10" s="381"/>
      <c r="N10" s="382">
        <f t="shared" ref="N10:N20" si="1">+(C10*E10*4*25/1000)/3.785</f>
        <v>0.26420079260237778</v>
      </c>
      <c r="O10" s="383">
        <f t="shared" ref="O10:O20" si="2">+(C10*E10*3*25/1000)/3.785</f>
        <v>0.19815059445178335</v>
      </c>
      <c r="P10" s="380">
        <f t="shared" ref="P10:P40" si="3">+C10*E10*6*25/1000</f>
        <v>1.5</v>
      </c>
      <c r="Q10" s="383">
        <f t="shared" ref="Q10:Q40" si="4">+ROUNDUP(C10*E10/2,0)</f>
        <v>5</v>
      </c>
      <c r="R10" s="383">
        <f t="shared" ref="R10:R40" si="5">+C10*E10*10*25/3785</f>
        <v>0.66050198150594452</v>
      </c>
      <c r="S10" s="383">
        <f t="shared" ref="S10:S40" si="6">0.1*E10*C10*25/40</f>
        <v>0.625</v>
      </c>
      <c r="T10" s="384">
        <f t="shared" ref="T10:T40" si="7">+C10*E10*25*0.03</f>
        <v>7.5</v>
      </c>
    </row>
    <row r="11" spans="2:20" x14ac:dyDescent="0.3">
      <c r="B11" s="604" t="s">
        <v>513</v>
      </c>
      <c r="C11" s="232">
        <v>1</v>
      </c>
      <c r="D11" s="233">
        <v>0.5</v>
      </c>
      <c r="E11" s="234">
        <v>10</v>
      </c>
      <c r="F11" s="378">
        <f>+(C11*E11*25*2)/50</f>
        <v>10</v>
      </c>
      <c r="G11" s="379">
        <f t="shared" ref="G11:G32" si="8">+ROUND((C11*E11*2)/3,0)</f>
        <v>7</v>
      </c>
      <c r="H11" s="379"/>
      <c r="I11" s="379">
        <f t="shared" si="0"/>
        <v>4</v>
      </c>
      <c r="J11" s="379">
        <f t="shared" ref="J11:J32" si="9">+ROUND(C11*E11*25*0.05,0)</f>
        <v>13</v>
      </c>
      <c r="K11" s="379"/>
      <c r="L11" s="380"/>
      <c r="M11" s="381"/>
      <c r="N11" s="382">
        <f t="shared" si="1"/>
        <v>0.26420079260237778</v>
      </c>
      <c r="O11" s="383">
        <f t="shared" si="2"/>
        <v>0.19815059445178335</v>
      </c>
      <c r="P11" s="380">
        <f t="shared" si="3"/>
        <v>1.5</v>
      </c>
      <c r="Q11" s="383">
        <f t="shared" si="4"/>
        <v>5</v>
      </c>
      <c r="R11" s="383">
        <f t="shared" si="5"/>
        <v>0.66050198150594452</v>
      </c>
      <c r="S11" s="383">
        <f t="shared" si="6"/>
        <v>0.625</v>
      </c>
      <c r="T11" s="384">
        <f t="shared" si="7"/>
        <v>7.5</v>
      </c>
    </row>
    <row r="12" spans="2:20" x14ac:dyDescent="0.3">
      <c r="B12" s="604" t="s">
        <v>514</v>
      </c>
      <c r="C12" s="232">
        <v>1</v>
      </c>
      <c r="D12" s="599">
        <v>1</v>
      </c>
      <c r="E12" s="234">
        <v>10</v>
      </c>
      <c r="F12" s="378">
        <f>+(C12*E12*25*2)/50</f>
        <v>10</v>
      </c>
      <c r="G12" s="379">
        <f t="shared" si="8"/>
        <v>7</v>
      </c>
      <c r="H12" s="379"/>
      <c r="I12" s="379">
        <f t="shared" si="0"/>
        <v>4</v>
      </c>
      <c r="J12" s="379">
        <f t="shared" si="9"/>
        <v>13</v>
      </c>
      <c r="K12" s="379"/>
      <c r="L12" s="380"/>
      <c r="M12" s="381"/>
      <c r="N12" s="382">
        <f t="shared" si="1"/>
        <v>0.26420079260237778</v>
      </c>
      <c r="O12" s="383">
        <f t="shared" si="2"/>
        <v>0.19815059445178335</v>
      </c>
      <c r="P12" s="380">
        <f t="shared" si="3"/>
        <v>1.5</v>
      </c>
      <c r="Q12" s="383">
        <f t="shared" si="4"/>
        <v>5</v>
      </c>
      <c r="R12" s="383">
        <f t="shared" si="5"/>
        <v>0.66050198150594452</v>
      </c>
      <c r="S12" s="383">
        <f t="shared" si="6"/>
        <v>0.625</v>
      </c>
      <c r="T12" s="384">
        <f t="shared" si="7"/>
        <v>7.5</v>
      </c>
    </row>
    <row r="13" spans="2:20" x14ac:dyDescent="0.3">
      <c r="B13" s="604" t="s">
        <v>515</v>
      </c>
      <c r="C13" s="232">
        <v>1</v>
      </c>
      <c r="D13" s="233">
        <v>0.5</v>
      </c>
      <c r="E13" s="234">
        <v>6</v>
      </c>
      <c r="F13" s="378"/>
      <c r="G13" s="379"/>
      <c r="H13" s="379"/>
      <c r="I13" s="379"/>
      <c r="J13" s="379"/>
      <c r="K13" s="379"/>
      <c r="L13" s="380"/>
      <c r="M13" s="381"/>
      <c r="N13" s="382"/>
      <c r="O13" s="383"/>
      <c r="P13" s="380"/>
      <c r="Q13" s="383"/>
      <c r="R13" s="383"/>
      <c r="S13" s="383"/>
      <c r="T13" s="384"/>
    </row>
    <row r="14" spans="2:20" x14ac:dyDescent="0.3">
      <c r="B14" s="604" t="s">
        <v>517</v>
      </c>
      <c r="C14" s="232">
        <v>1</v>
      </c>
      <c r="D14" s="233">
        <v>0.5</v>
      </c>
      <c r="E14" s="601">
        <v>9</v>
      </c>
      <c r="F14" s="378">
        <f t="shared" ref="F14:F20" si="10">+(C14*E14*25*2)/50</f>
        <v>9</v>
      </c>
      <c r="G14" s="379">
        <f t="shared" si="8"/>
        <v>6</v>
      </c>
      <c r="H14" s="379"/>
      <c r="I14" s="379">
        <f t="shared" si="0"/>
        <v>3</v>
      </c>
      <c r="J14" s="379">
        <f t="shared" si="9"/>
        <v>11</v>
      </c>
      <c r="K14" s="379"/>
      <c r="L14" s="380"/>
      <c r="M14" s="381"/>
      <c r="N14" s="382">
        <f t="shared" si="1"/>
        <v>0.23778071334214002</v>
      </c>
      <c r="O14" s="383">
        <f t="shared" si="2"/>
        <v>0.17833553500660501</v>
      </c>
      <c r="P14" s="380">
        <f t="shared" si="3"/>
        <v>1.35</v>
      </c>
      <c r="Q14" s="383">
        <f t="shared" si="4"/>
        <v>5</v>
      </c>
      <c r="R14" s="383">
        <f t="shared" si="5"/>
        <v>0.59445178335535009</v>
      </c>
      <c r="S14" s="383">
        <f t="shared" si="6"/>
        <v>0.5625</v>
      </c>
      <c r="T14" s="384">
        <f t="shared" si="7"/>
        <v>6.75</v>
      </c>
    </row>
    <row r="15" spans="2:20" x14ac:dyDescent="0.3">
      <c r="B15" s="604" t="s">
        <v>518</v>
      </c>
      <c r="C15" s="232">
        <v>1</v>
      </c>
      <c r="D15" s="233">
        <v>0.5</v>
      </c>
      <c r="E15" s="234">
        <v>8</v>
      </c>
      <c r="F15" s="378">
        <f t="shared" si="10"/>
        <v>8</v>
      </c>
      <c r="G15" s="379">
        <f t="shared" si="8"/>
        <v>5</v>
      </c>
      <c r="H15" s="379"/>
      <c r="I15" s="379">
        <f t="shared" si="0"/>
        <v>3</v>
      </c>
      <c r="J15" s="379">
        <f t="shared" si="9"/>
        <v>10</v>
      </c>
      <c r="K15" s="379"/>
      <c r="L15" s="380"/>
      <c r="M15" s="381"/>
      <c r="N15" s="382">
        <f t="shared" si="1"/>
        <v>0.21136063408190225</v>
      </c>
      <c r="O15" s="383">
        <f t="shared" si="2"/>
        <v>0.15852047556142668</v>
      </c>
      <c r="P15" s="380">
        <f t="shared" si="3"/>
        <v>1.2</v>
      </c>
      <c r="Q15" s="383">
        <f t="shared" si="4"/>
        <v>4</v>
      </c>
      <c r="R15" s="383">
        <f t="shared" si="5"/>
        <v>0.52840158520475566</v>
      </c>
      <c r="S15" s="383">
        <f t="shared" si="6"/>
        <v>0.5</v>
      </c>
      <c r="T15" s="384">
        <f t="shared" si="7"/>
        <v>6</v>
      </c>
    </row>
    <row r="16" spans="2:20" x14ac:dyDescent="0.3">
      <c r="B16" s="604" t="s">
        <v>519</v>
      </c>
      <c r="C16" s="232">
        <v>1</v>
      </c>
      <c r="D16" s="600">
        <v>0.5</v>
      </c>
      <c r="E16" s="601">
        <v>2</v>
      </c>
      <c r="F16" s="378">
        <f t="shared" si="10"/>
        <v>2</v>
      </c>
      <c r="G16" s="379">
        <f t="shared" si="8"/>
        <v>1</v>
      </c>
      <c r="H16" s="379"/>
      <c r="I16" s="379">
        <f t="shared" si="0"/>
        <v>1</v>
      </c>
      <c r="J16" s="379">
        <f t="shared" si="9"/>
        <v>3</v>
      </c>
      <c r="K16" s="379"/>
      <c r="L16" s="380"/>
      <c r="M16" s="381"/>
      <c r="N16" s="382">
        <f t="shared" si="1"/>
        <v>5.2840158520475564E-2</v>
      </c>
      <c r="O16" s="383">
        <f t="shared" si="2"/>
        <v>3.9630118890356669E-2</v>
      </c>
      <c r="P16" s="380">
        <f t="shared" si="3"/>
        <v>0.3</v>
      </c>
      <c r="Q16" s="383">
        <f t="shared" si="4"/>
        <v>1</v>
      </c>
      <c r="R16" s="383">
        <f t="shared" si="5"/>
        <v>0.13210039630118892</v>
      </c>
      <c r="S16" s="383">
        <f t="shared" si="6"/>
        <v>0.125</v>
      </c>
      <c r="T16" s="384">
        <f t="shared" si="7"/>
        <v>1.5</v>
      </c>
    </row>
    <row r="17" spans="2:20" x14ac:dyDescent="0.3">
      <c r="B17" s="604" t="s">
        <v>520</v>
      </c>
      <c r="C17" s="232">
        <v>1</v>
      </c>
      <c r="D17" s="233">
        <v>0.5</v>
      </c>
      <c r="E17" s="234">
        <v>10</v>
      </c>
      <c r="F17" s="378">
        <f t="shared" si="10"/>
        <v>10</v>
      </c>
      <c r="G17" s="379">
        <f t="shared" si="8"/>
        <v>7</v>
      </c>
      <c r="H17" s="379"/>
      <c r="I17" s="379">
        <f t="shared" si="0"/>
        <v>4</v>
      </c>
      <c r="J17" s="379">
        <f t="shared" si="9"/>
        <v>13</v>
      </c>
      <c r="K17" s="379"/>
      <c r="L17" s="380"/>
      <c r="M17" s="381"/>
      <c r="N17" s="382">
        <f t="shared" si="1"/>
        <v>0.26420079260237778</v>
      </c>
      <c r="O17" s="383">
        <f t="shared" si="2"/>
        <v>0.19815059445178335</v>
      </c>
      <c r="P17" s="380">
        <f t="shared" si="3"/>
        <v>1.5</v>
      </c>
      <c r="Q17" s="383">
        <f t="shared" si="4"/>
        <v>5</v>
      </c>
      <c r="R17" s="383">
        <f t="shared" si="5"/>
        <v>0.66050198150594452</v>
      </c>
      <c r="S17" s="383">
        <f t="shared" si="6"/>
        <v>0.625</v>
      </c>
      <c r="T17" s="384">
        <f t="shared" si="7"/>
        <v>7.5</v>
      </c>
    </row>
    <row r="18" spans="2:20" x14ac:dyDescent="0.3">
      <c r="B18" s="604" t="s">
        <v>521</v>
      </c>
      <c r="C18" s="232">
        <v>1</v>
      </c>
      <c r="D18" s="599">
        <v>0.5</v>
      </c>
      <c r="E18" s="234">
        <v>8</v>
      </c>
      <c r="F18" s="378">
        <f t="shared" si="10"/>
        <v>8</v>
      </c>
      <c r="G18" s="379">
        <f t="shared" si="8"/>
        <v>5</v>
      </c>
      <c r="H18" s="379"/>
      <c r="I18" s="379">
        <f t="shared" si="0"/>
        <v>3</v>
      </c>
      <c r="J18" s="379">
        <f t="shared" si="9"/>
        <v>10</v>
      </c>
      <c r="K18" s="379"/>
      <c r="L18" s="380"/>
      <c r="M18" s="381"/>
      <c r="N18" s="382">
        <f t="shared" si="1"/>
        <v>0.21136063408190225</v>
      </c>
      <c r="O18" s="383">
        <f t="shared" si="2"/>
        <v>0.15852047556142668</v>
      </c>
      <c r="P18" s="380">
        <f t="shared" si="3"/>
        <v>1.2</v>
      </c>
      <c r="Q18" s="383">
        <f t="shared" si="4"/>
        <v>4</v>
      </c>
      <c r="R18" s="383">
        <f t="shared" si="5"/>
        <v>0.52840158520475566</v>
      </c>
      <c r="S18" s="383">
        <f t="shared" si="6"/>
        <v>0.5</v>
      </c>
      <c r="T18" s="384">
        <f t="shared" si="7"/>
        <v>6</v>
      </c>
    </row>
    <row r="19" spans="2:20" x14ac:dyDescent="0.3">
      <c r="B19" s="604" t="s">
        <v>522</v>
      </c>
      <c r="C19" s="232">
        <v>1</v>
      </c>
      <c r="D19" s="233">
        <v>0.5</v>
      </c>
      <c r="E19" s="234">
        <v>7</v>
      </c>
      <c r="F19" s="378">
        <f t="shared" si="10"/>
        <v>7</v>
      </c>
      <c r="G19" s="379">
        <f t="shared" si="8"/>
        <v>5</v>
      </c>
      <c r="H19" s="379"/>
      <c r="I19" s="379">
        <f t="shared" si="0"/>
        <v>3</v>
      </c>
      <c r="J19" s="379">
        <f t="shared" si="9"/>
        <v>9</v>
      </c>
      <c r="K19" s="379"/>
      <c r="L19" s="380"/>
      <c r="M19" s="381"/>
      <c r="N19" s="382">
        <f t="shared" si="1"/>
        <v>0.18494055482166444</v>
      </c>
      <c r="O19" s="383">
        <f t="shared" si="2"/>
        <v>0.13870541611624834</v>
      </c>
      <c r="P19" s="380">
        <f t="shared" si="3"/>
        <v>1.05</v>
      </c>
      <c r="Q19" s="383">
        <f t="shared" si="4"/>
        <v>4</v>
      </c>
      <c r="R19" s="383">
        <f t="shared" si="5"/>
        <v>0.46235138705416118</v>
      </c>
      <c r="S19" s="383">
        <f t="shared" si="6"/>
        <v>0.4375</v>
      </c>
      <c r="T19" s="384">
        <f t="shared" si="7"/>
        <v>5.25</v>
      </c>
    </row>
    <row r="20" spans="2:20" x14ac:dyDescent="0.3">
      <c r="B20" s="604" t="s">
        <v>523</v>
      </c>
      <c r="C20" s="232">
        <v>1</v>
      </c>
      <c r="D20" s="599">
        <v>1</v>
      </c>
      <c r="E20" s="234">
        <v>10</v>
      </c>
      <c r="F20" s="378">
        <f t="shared" si="10"/>
        <v>10</v>
      </c>
      <c r="G20" s="379">
        <f t="shared" si="8"/>
        <v>7</v>
      </c>
      <c r="H20" s="379"/>
      <c r="I20" s="379">
        <f t="shared" si="0"/>
        <v>4</v>
      </c>
      <c r="J20" s="379">
        <f t="shared" si="9"/>
        <v>13</v>
      </c>
      <c r="K20" s="379"/>
      <c r="L20" s="380"/>
      <c r="M20" s="381"/>
      <c r="N20" s="382">
        <f t="shared" si="1"/>
        <v>0.26420079260237778</v>
      </c>
      <c r="O20" s="383">
        <f t="shared" si="2"/>
        <v>0.19815059445178335</v>
      </c>
      <c r="P20" s="380">
        <f t="shared" si="3"/>
        <v>1.5</v>
      </c>
      <c r="Q20" s="383">
        <f t="shared" si="4"/>
        <v>5</v>
      </c>
      <c r="R20" s="383">
        <f t="shared" si="5"/>
        <v>0.66050198150594452</v>
      </c>
      <c r="S20" s="383">
        <f t="shared" si="6"/>
        <v>0.625</v>
      </c>
      <c r="T20" s="384">
        <f t="shared" si="7"/>
        <v>7.5</v>
      </c>
    </row>
    <row r="21" spans="2:20" x14ac:dyDescent="0.3">
      <c r="B21" s="604" t="s">
        <v>524</v>
      </c>
      <c r="C21" s="232">
        <v>1</v>
      </c>
      <c r="D21" s="233">
        <v>1</v>
      </c>
      <c r="E21" s="234">
        <v>10</v>
      </c>
      <c r="F21" s="378">
        <f t="shared" ref="F21:F26" si="11">+(C21*E21*25*2)/50</f>
        <v>10</v>
      </c>
      <c r="G21" s="379">
        <f t="shared" ref="G21:G26" si="12">+ROUND((C21*E21*2)/3,0)</f>
        <v>7</v>
      </c>
      <c r="H21" s="379"/>
      <c r="I21" s="379">
        <f t="shared" ref="I21:I26" si="13">+ROUNDUP(C21*E21/3,0)</f>
        <v>4</v>
      </c>
      <c r="J21" s="379">
        <f t="shared" ref="J21:J26" si="14">+ROUND(C21*E21*25*0.05,0)</f>
        <v>13</v>
      </c>
      <c r="K21" s="379"/>
      <c r="L21" s="380"/>
      <c r="M21" s="381"/>
      <c r="N21" s="382">
        <f t="shared" ref="N21:N26" si="15">+(C21*E21*4*25/1000)/3.785</f>
        <v>0.26420079260237778</v>
      </c>
      <c r="O21" s="383">
        <f t="shared" ref="O21:O26" si="16">+(C21*E21*3*25/1000)/3.785</f>
        <v>0.19815059445178335</v>
      </c>
      <c r="P21" s="380">
        <f t="shared" ref="P21:P26" si="17">+C21*E21*6*25/1000</f>
        <v>1.5</v>
      </c>
      <c r="Q21" s="383">
        <f t="shared" ref="Q21:Q26" si="18">+ROUNDUP(C21*E21/2,0)</f>
        <v>5</v>
      </c>
      <c r="R21" s="383">
        <f t="shared" ref="R21:R26" si="19">+C21*E21*10*25/3785</f>
        <v>0.66050198150594452</v>
      </c>
      <c r="S21" s="383">
        <f t="shared" ref="S21:S26" si="20">0.1*E21*C21*25/40</f>
        <v>0.625</v>
      </c>
      <c r="T21" s="384">
        <f t="shared" ref="T21:T26" si="21">+C21*E21*25*0.03</f>
        <v>7.5</v>
      </c>
    </row>
    <row r="22" spans="2:20" x14ac:dyDescent="0.3">
      <c r="B22" s="604" t="s">
        <v>46</v>
      </c>
      <c r="C22" s="583"/>
      <c r="D22" s="584"/>
      <c r="E22" s="585"/>
      <c r="F22" s="378"/>
      <c r="G22" s="379"/>
      <c r="H22" s="379"/>
      <c r="I22" s="379"/>
      <c r="J22" s="379"/>
      <c r="K22" s="379"/>
      <c r="L22" s="380"/>
      <c r="M22" s="381"/>
      <c r="N22" s="382"/>
      <c r="O22" s="383"/>
      <c r="P22" s="380"/>
      <c r="Q22" s="383"/>
      <c r="R22" s="383"/>
      <c r="S22" s="383"/>
      <c r="T22" s="384"/>
    </row>
    <row r="23" spans="2:20" x14ac:dyDescent="0.3">
      <c r="B23" s="604" t="s">
        <v>527</v>
      </c>
      <c r="C23" s="232">
        <v>1</v>
      </c>
      <c r="D23" s="233">
        <v>1</v>
      </c>
      <c r="E23" s="234">
        <v>10</v>
      </c>
      <c r="F23" s="378">
        <f t="shared" si="11"/>
        <v>10</v>
      </c>
      <c r="G23" s="379">
        <f t="shared" si="12"/>
        <v>7</v>
      </c>
      <c r="H23" s="379"/>
      <c r="I23" s="379">
        <f t="shared" si="13"/>
        <v>4</v>
      </c>
      <c r="J23" s="379">
        <f t="shared" si="14"/>
        <v>13</v>
      </c>
      <c r="K23" s="379"/>
      <c r="L23" s="380"/>
      <c r="M23" s="381"/>
      <c r="N23" s="382">
        <f t="shared" si="15"/>
        <v>0.26420079260237778</v>
      </c>
      <c r="O23" s="383">
        <f t="shared" si="16"/>
        <v>0.19815059445178335</v>
      </c>
      <c r="P23" s="380">
        <f t="shared" si="17"/>
        <v>1.5</v>
      </c>
      <c r="Q23" s="383">
        <f t="shared" si="18"/>
        <v>5</v>
      </c>
      <c r="R23" s="383">
        <f t="shared" si="19"/>
        <v>0.66050198150594452</v>
      </c>
      <c r="S23" s="383">
        <f t="shared" si="20"/>
        <v>0.625</v>
      </c>
      <c r="T23" s="384">
        <f t="shared" si="21"/>
        <v>7.5</v>
      </c>
    </row>
    <row r="24" spans="2:20" x14ac:dyDescent="0.3">
      <c r="B24" s="604" t="s">
        <v>525</v>
      </c>
      <c r="C24" s="232">
        <v>1</v>
      </c>
      <c r="D24" s="233">
        <v>1</v>
      </c>
      <c r="E24" s="234">
        <v>10</v>
      </c>
      <c r="F24" s="378">
        <f t="shared" si="11"/>
        <v>10</v>
      </c>
      <c r="G24" s="379">
        <f t="shared" si="12"/>
        <v>7</v>
      </c>
      <c r="H24" s="379"/>
      <c r="I24" s="379">
        <f t="shared" si="13"/>
        <v>4</v>
      </c>
      <c r="J24" s="379">
        <f t="shared" si="14"/>
        <v>13</v>
      </c>
      <c r="K24" s="379"/>
      <c r="L24" s="380"/>
      <c r="M24" s="381"/>
      <c r="N24" s="382">
        <f t="shared" si="15"/>
        <v>0.26420079260237778</v>
      </c>
      <c r="O24" s="383">
        <f t="shared" si="16"/>
        <v>0.19815059445178335</v>
      </c>
      <c r="P24" s="380">
        <f t="shared" si="17"/>
        <v>1.5</v>
      </c>
      <c r="Q24" s="383">
        <f t="shared" si="18"/>
        <v>5</v>
      </c>
      <c r="R24" s="383">
        <f t="shared" si="19"/>
        <v>0.66050198150594452</v>
      </c>
      <c r="S24" s="383">
        <f t="shared" si="20"/>
        <v>0.625</v>
      </c>
      <c r="T24" s="384">
        <f t="shared" si="21"/>
        <v>7.5</v>
      </c>
    </row>
    <row r="25" spans="2:20" x14ac:dyDescent="0.3">
      <c r="B25" s="604" t="s">
        <v>526</v>
      </c>
      <c r="C25" s="232">
        <v>1</v>
      </c>
      <c r="D25" s="233">
        <v>1</v>
      </c>
      <c r="E25" s="234">
        <v>10</v>
      </c>
      <c r="F25" s="378">
        <f t="shared" si="11"/>
        <v>10</v>
      </c>
      <c r="G25" s="379">
        <f t="shared" si="12"/>
        <v>7</v>
      </c>
      <c r="H25" s="379"/>
      <c r="I25" s="379">
        <f t="shared" si="13"/>
        <v>4</v>
      </c>
      <c r="J25" s="379">
        <f t="shared" si="14"/>
        <v>13</v>
      </c>
      <c r="K25" s="379"/>
      <c r="L25" s="380"/>
      <c r="M25" s="381"/>
      <c r="N25" s="382">
        <f t="shared" si="15"/>
        <v>0.26420079260237778</v>
      </c>
      <c r="O25" s="383">
        <f t="shared" si="16"/>
        <v>0.19815059445178335</v>
      </c>
      <c r="P25" s="380">
        <f t="shared" si="17"/>
        <v>1.5</v>
      </c>
      <c r="Q25" s="383">
        <f t="shared" si="18"/>
        <v>5</v>
      </c>
      <c r="R25" s="383">
        <f t="shared" si="19"/>
        <v>0.66050198150594452</v>
      </c>
      <c r="S25" s="383">
        <f t="shared" si="20"/>
        <v>0.625</v>
      </c>
      <c r="T25" s="384">
        <f t="shared" si="21"/>
        <v>7.5</v>
      </c>
    </row>
    <row r="26" spans="2:20" x14ac:dyDescent="0.3">
      <c r="B26" s="604" t="s">
        <v>14</v>
      </c>
      <c r="C26" s="232">
        <v>1</v>
      </c>
      <c r="D26" s="599">
        <v>0.5</v>
      </c>
      <c r="E26" s="234">
        <v>10</v>
      </c>
      <c r="F26" s="378">
        <f t="shared" si="11"/>
        <v>10</v>
      </c>
      <c r="G26" s="379">
        <f t="shared" si="12"/>
        <v>7</v>
      </c>
      <c r="H26" s="379"/>
      <c r="I26" s="379">
        <f t="shared" si="13"/>
        <v>4</v>
      </c>
      <c r="J26" s="379">
        <f t="shared" si="14"/>
        <v>13</v>
      </c>
      <c r="K26" s="379"/>
      <c r="L26" s="380"/>
      <c r="M26" s="381"/>
      <c r="N26" s="382">
        <f t="shared" si="15"/>
        <v>0.26420079260237778</v>
      </c>
      <c r="O26" s="383">
        <f t="shared" si="16"/>
        <v>0.19815059445178335</v>
      </c>
      <c r="P26" s="380">
        <f t="shared" si="17"/>
        <v>1.5</v>
      </c>
      <c r="Q26" s="383">
        <f t="shared" si="18"/>
        <v>5</v>
      </c>
      <c r="R26" s="383">
        <f t="shared" si="19"/>
        <v>0.66050198150594452</v>
      </c>
      <c r="S26" s="383">
        <f t="shared" si="20"/>
        <v>0.625</v>
      </c>
      <c r="T26" s="384">
        <f t="shared" si="21"/>
        <v>7.5</v>
      </c>
    </row>
    <row r="27" spans="2:20" x14ac:dyDescent="0.3">
      <c r="B27" s="374"/>
      <c r="C27" s="232"/>
      <c r="D27" s="599"/>
      <c r="E27" s="234"/>
      <c r="F27" s="378"/>
      <c r="G27" s="379"/>
      <c r="H27" s="379"/>
      <c r="I27" s="379"/>
      <c r="J27" s="379"/>
      <c r="K27" s="379"/>
      <c r="L27" s="380"/>
      <c r="M27" s="381"/>
      <c r="N27" s="382"/>
      <c r="O27" s="383"/>
      <c r="P27" s="380"/>
      <c r="Q27" s="383"/>
      <c r="R27" s="383"/>
      <c r="S27" s="383"/>
      <c r="T27" s="384"/>
    </row>
    <row r="28" spans="2:20" x14ac:dyDescent="0.3">
      <c r="B28" s="385" t="s">
        <v>312</v>
      </c>
      <c r="C28" s="375"/>
      <c r="D28" s="386"/>
      <c r="E28" s="387"/>
      <c r="F28" s="378"/>
      <c r="G28" s="379"/>
      <c r="H28" s="379"/>
      <c r="I28" s="379"/>
      <c r="J28" s="379"/>
      <c r="K28" s="379"/>
      <c r="L28" s="380"/>
      <c r="M28" s="381"/>
      <c r="N28" s="382"/>
      <c r="O28" s="383"/>
      <c r="P28" s="380"/>
      <c r="Q28" s="383"/>
      <c r="R28" s="383"/>
      <c r="S28" s="383"/>
      <c r="T28" s="384"/>
    </row>
    <row r="29" spans="2:20" x14ac:dyDescent="0.3">
      <c r="B29" s="374" t="s">
        <v>54</v>
      </c>
      <c r="C29" s="234">
        <v>1</v>
      </c>
      <c r="D29" s="233">
        <v>0.2</v>
      </c>
      <c r="E29" s="234">
        <v>10</v>
      </c>
      <c r="F29" s="378">
        <f t="shared" ref="F29:F32" si="22">+(C29*E29*25*2)/50</f>
        <v>10</v>
      </c>
      <c r="G29" s="379">
        <f t="shared" si="8"/>
        <v>7</v>
      </c>
      <c r="H29" s="379"/>
      <c r="I29" s="379">
        <f t="shared" si="0"/>
        <v>4</v>
      </c>
      <c r="J29" s="379">
        <f t="shared" si="9"/>
        <v>13</v>
      </c>
      <c r="K29" s="379"/>
      <c r="L29" s="380"/>
      <c r="M29" s="381"/>
      <c r="N29" s="382">
        <f t="shared" ref="N29:N32" si="23">+(C29*E29*4*25/1000)/3.785</f>
        <v>0.26420079260237778</v>
      </c>
      <c r="O29" s="383">
        <f t="shared" ref="O29:O32" si="24">+(C29*E29*3*25/1000)/3.785</f>
        <v>0.19815059445178335</v>
      </c>
      <c r="P29" s="380">
        <f t="shared" si="3"/>
        <v>1.5</v>
      </c>
      <c r="Q29" s="383">
        <f t="shared" si="4"/>
        <v>5</v>
      </c>
      <c r="R29" s="383">
        <f t="shared" si="5"/>
        <v>0.66050198150594452</v>
      </c>
      <c r="S29" s="383">
        <f t="shared" si="6"/>
        <v>0.625</v>
      </c>
      <c r="T29" s="384">
        <f t="shared" si="7"/>
        <v>7.5</v>
      </c>
    </row>
    <row r="30" spans="2:20" x14ac:dyDescent="0.3">
      <c r="B30" s="374" t="s">
        <v>55</v>
      </c>
      <c r="C30" s="234">
        <v>1</v>
      </c>
      <c r="D30" s="233">
        <v>0.2</v>
      </c>
      <c r="E30" s="234">
        <v>10</v>
      </c>
      <c r="F30" s="378">
        <f t="shared" si="22"/>
        <v>10</v>
      </c>
      <c r="G30" s="379">
        <f t="shared" si="8"/>
        <v>7</v>
      </c>
      <c r="H30" s="379"/>
      <c r="I30" s="379">
        <f t="shared" si="0"/>
        <v>4</v>
      </c>
      <c r="J30" s="379">
        <f t="shared" si="9"/>
        <v>13</v>
      </c>
      <c r="K30" s="379"/>
      <c r="L30" s="380"/>
      <c r="M30" s="381"/>
      <c r="N30" s="382">
        <f t="shared" si="23"/>
        <v>0.26420079260237778</v>
      </c>
      <c r="O30" s="383">
        <f t="shared" si="24"/>
        <v>0.19815059445178335</v>
      </c>
      <c r="P30" s="380">
        <f t="shared" si="3"/>
        <v>1.5</v>
      </c>
      <c r="Q30" s="383">
        <f t="shared" si="4"/>
        <v>5</v>
      </c>
      <c r="R30" s="383">
        <f t="shared" si="5"/>
        <v>0.66050198150594452</v>
      </c>
      <c r="S30" s="383">
        <f t="shared" si="6"/>
        <v>0.625</v>
      </c>
      <c r="T30" s="384">
        <f t="shared" si="7"/>
        <v>7.5</v>
      </c>
    </row>
    <row r="31" spans="2:20" x14ac:dyDescent="0.3">
      <c r="B31" s="374"/>
      <c r="C31" s="234"/>
      <c r="D31" s="233"/>
      <c r="E31" s="234"/>
      <c r="F31" s="378"/>
      <c r="G31" s="379"/>
      <c r="H31" s="379"/>
      <c r="I31" s="379"/>
      <c r="J31" s="379"/>
      <c r="K31" s="379"/>
      <c r="L31" s="380"/>
      <c r="M31" s="381"/>
      <c r="N31" s="382"/>
      <c r="O31" s="383"/>
      <c r="P31" s="380"/>
      <c r="Q31" s="383"/>
      <c r="R31" s="383"/>
      <c r="S31" s="383"/>
      <c r="T31" s="384"/>
    </row>
    <row r="32" spans="2:20" x14ac:dyDescent="0.3">
      <c r="B32" s="374" t="s">
        <v>56</v>
      </c>
      <c r="C32" s="321">
        <v>1</v>
      </c>
      <c r="D32" s="322">
        <v>0.2</v>
      </c>
      <c r="E32" s="234">
        <v>10</v>
      </c>
      <c r="F32" s="378">
        <f t="shared" si="22"/>
        <v>10</v>
      </c>
      <c r="G32" s="379">
        <f t="shared" si="8"/>
        <v>7</v>
      </c>
      <c r="H32" s="379"/>
      <c r="I32" s="379">
        <f t="shared" si="0"/>
        <v>4</v>
      </c>
      <c r="J32" s="379">
        <f t="shared" si="9"/>
        <v>13</v>
      </c>
      <c r="K32" s="379"/>
      <c r="L32" s="380"/>
      <c r="M32" s="381"/>
      <c r="N32" s="382">
        <f t="shared" si="23"/>
        <v>0.26420079260237778</v>
      </c>
      <c r="O32" s="383">
        <f t="shared" si="24"/>
        <v>0.19815059445178335</v>
      </c>
      <c r="P32" s="380">
        <f t="shared" si="3"/>
        <v>1.5</v>
      </c>
      <c r="Q32" s="383">
        <f t="shared" si="4"/>
        <v>5</v>
      </c>
      <c r="R32" s="383">
        <f t="shared" si="5"/>
        <v>0.66050198150594452</v>
      </c>
      <c r="S32" s="383">
        <f t="shared" si="6"/>
        <v>0.625</v>
      </c>
      <c r="T32" s="384">
        <f t="shared" si="7"/>
        <v>7.5</v>
      </c>
    </row>
    <row r="33" spans="2:20" x14ac:dyDescent="0.3">
      <c r="B33" s="374"/>
      <c r="C33" s="375"/>
      <c r="D33" s="376"/>
      <c r="E33" s="377"/>
      <c r="F33" s="378"/>
      <c r="G33" s="379"/>
      <c r="H33" s="379"/>
      <c r="I33" s="379"/>
      <c r="J33" s="379"/>
      <c r="K33" s="379"/>
      <c r="L33" s="380"/>
      <c r="M33" s="381"/>
      <c r="N33" s="382"/>
      <c r="O33" s="383"/>
      <c r="P33" s="380"/>
      <c r="Q33" s="383"/>
      <c r="R33" s="383"/>
      <c r="S33" s="383"/>
      <c r="T33" s="384"/>
    </row>
    <row r="34" spans="2:20" x14ac:dyDescent="0.3">
      <c r="B34" s="374"/>
      <c r="C34" s="375"/>
      <c r="D34" s="376"/>
      <c r="E34" s="377"/>
      <c r="F34" s="378"/>
      <c r="G34" s="379"/>
      <c r="H34" s="379"/>
      <c r="I34" s="379"/>
      <c r="J34" s="379"/>
      <c r="K34" s="379"/>
      <c r="L34" s="380"/>
      <c r="M34" s="381"/>
      <c r="N34" s="382"/>
      <c r="O34" s="383"/>
      <c r="P34" s="380"/>
      <c r="Q34" s="383"/>
      <c r="R34" s="383"/>
      <c r="S34" s="383"/>
      <c r="T34" s="384"/>
    </row>
    <row r="35" spans="2:20" x14ac:dyDescent="0.3">
      <c r="B35" s="385" t="s">
        <v>313</v>
      </c>
      <c r="C35" s="375"/>
      <c r="D35" s="376"/>
      <c r="E35" s="377"/>
      <c r="F35" s="378"/>
      <c r="G35" s="379"/>
      <c r="H35" s="379"/>
      <c r="I35" s="379"/>
      <c r="J35" s="379"/>
      <c r="K35" s="379"/>
      <c r="L35" s="380"/>
      <c r="M35" s="381"/>
      <c r="N35" s="382"/>
      <c r="O35" s="380"/>
      <c r="P35" s="380"/>
      <c r="Q35" s="383"/>
      <c r="R35" s="383"/>
      <c r="S35" s="383"/>
      <c r="T35" s="384"/>
    </row>
    <row r="36" spans="2:20" x14ac:dyDescent="0.3">
      <c r="B36" s="388" t="s">
        <v>314</v>
      </c>
      <c r="C36" s="375">
        <v>0</v>
      </c>
      <c r="D36" s="376"/>
      <c r="E36" s="377">
        <v>10</v>
      </c>
      <c r="F36" s="378"/>
      <c r="G36" s="379">
        <f t="shared" ref="G36:G40" si="25">+ROUND((C36*E36*2)/3,0)</f>
        <v>0</v>
      </c>
      <c r="H36" s="379">
        <f>+(C36*E36*25)/50</f>
        <v>0</v>
      </c>
      <c r="I36" s="379">
        <f t="shared" si="0"/>
        <v>0</v>
      </c>
      <c r="J36" s="379"/>
      <c r="K36" s="389">
        <f>+C36*E36*25</f>
        <v>0</v>
      </c>
      <c r="L36" s="379">
        <f>+C36*E36*8</f>
        <v>0</v>
      </c>
      <c r="M36" s="390">
        <f>+C36*E36*8</f>
        <v>0</v>
      </c>
      <c r="N36" s="382">
        <f t="shared" ref="N36:N40" si="26">+(C36*E36*4*25/1000)/3.785</f>
        <v>0</v>
      </c>
      <c r="O36" s="380"/>
      <c r="P36" s="380">
        <f t="shared" si="3"/>
        <v>0</v>
      </c>
      <c r="Q36" s="383">
        <f t="shared" si="4"/>
        <v>0</v>
      </c>
      <c r="R36" s="383">
        <f t="shared" si="5"/>
        <v>0</v>
      </c>
      <c r="S36" s="383">
        <f t="shared" si="6"/>
        <v>0</v>
      </c>
      <c r="T36" s="384">
        <f t="shared" si="7"/>
        <v>0</v>
      </c>
    </row>
    <row r="37" spans="2:20" x14ac:dyDescent="0.3">
      <c r="B37" s="388" t="s">
        <v>315</v>
      </c>
      <c r="C37" s="375">
        <v>0</v>
      </c>
      <c r="D37" s="376"/>
      <c r="E37" s="377">
        <v>10</v>
      </c>
      <c r="F37" s="378"/>
      <c r="G37" s="379">
        <f t="shared" si="25"/>
        <v>0</v>
      </c>
      <c r="H37" s="379">
        <f t="shared" ref="H37" si="27">+(C37*E37*25)/50</f>
        <v>0</v>
      </c>
      <c r="I37" s="379">
        <f t="shared" si="0"/>
        <v>0</v>
      </c>
      <c r="J37" s="379"/>
      <c r="K37" s="389">
        <f>+C37*E37*25</f>
        <v>0</v>
      </c>
      <c r="L37" s="379">
        <f>+C37*E37*8</f>
        <v>0</v>
      </c>
      <c r="M37" s="390">
        <f>+C37*E37*8</f>
        <v>0</v>
      </c>
      <c r="N37" s="382">
        <f t="shared" si="26"/>
        <v>0</v>
      </c>
      <c r="O37" s="380"/>
      <c r="P37" s="380">
        <f t="shared" si="3"/>
        <v>0</v>
      </c>
      <c r="Q37" s="383">
        <f t="shared" si="4"/>
        <v>0</v>
      </c>
      <c r="R37" s="383">
        <f t="shared" si="5"/>
        <v>0</v>
      </c>
      <c r="S37" s="383">
        <f t="shared" si="6"/>
        <v>0</v>
      </c>
      <c r="T37" s="384">
        <f t="shared" si="7"/>
        <v>0</v>
      </c>
    </row>
    <row r="38" spans="2:20" x14ac:dyDescent="0.3">
      <c r="B38" s="388" t="s">
        <v>316</v>
      </c>
      <c r="C38" s="375">
        <v>1</v>
      </c>
      <c r="D38" s="376"/>
      <c r="E38" s="377">
        <v>10</v>
      </c>
      <c r="F38" s="378"/>
      <c r="G38" s="379">
        <f t="shared" si="25"/>
        <v>7</v>
      </c>
      <c r="H38" s="379">
        <f>ROUND(+(C38*E38*25)/50,0)</f>
        <v>5</v>
      </c>
      <c r="I38" s="379">
        <f t="shared" si="0"/>
        <v>4</v>
      </c>
      <c r="J38" s="379"/>
      <c r="K38" s="389">
        <f>+C38*E38*25</f>
        <v>250</v>
      </c>
      <c r="L38" s="379">
        <f>+C38*E38*8</f>
        <v>80</v>
      </c>
      <c r="M38" s="390">
        <f>+C38*E38*8</f>
        <v>80</v>
      </c>
      <c r="N38" s="382">
        <f t="shared" si="26"/>
        <v>0.26420079260237778</v>
      </c>
      <c r="O38" s="380"/>
      <c r="P38" s="380">
        <f t="shared" si="3"/>
        <v>1.5</v>
      </c>
      <c r="Q38" s="383">
        <f t="shared" si="4"/>
        <v>5</v>
      </c>
      <c r="R38" s="383">
        <f t="shared" si="5"/>
        <v>0.66050198150594452</v>
      </c>
      <c r="S38" s="383">
        <f t="shared" si="6"/>
        <v>0.625</v>
      </c>
      <c r="T38" s="384">
        <f t="shared" si="7"/>
        <v>7.5</v>
      </c>
    </row>
    <row r="39" spans="2:20" x14ac:dyDescent="0.3">
      <c r="B39" s="385" t="s">
        <v>317</v>
      </c>
      <c r="C39" s="375"/>
      <c r="D39" s="376"/>
      <c r="E39" s="377"/>
      <c r="F39" s="378"/>
      <c r="G39" s="379"/>
      <c r="H39" s="379"/>
      <c r="I39" s="379"/>
      <c r="J39" s="379"/>
      <c r="K39" s="389"/>
      <c r="L39" s="379"/>
      <c r="M39" s="390"/>
      <c r="N39" s="382"/>
      <c r="O39" s="380"/>
      <c r="P39" s="380"/>
      <c r="Q39" s="383"/>
      <c r="R39" s="383"/>
      <c r="S39" s="383"/>
      <c r="T39" s="384"/>
    </row>
    <row r="40" spans="2:20" x14ac:dyDescent="0.3">
      <c r="B40" s="388" t="s">
        <v>318</v>
      </c>
      <c r="C40" s="375">
        <v>1</v>
      </c>
      <c r="D40" s="380"/>
      <c r="E40" s="377">
        <v>10</v>
      </c>
      <c r="F40" s="378"/>
      <c r="G40" s="379">
        <f t="shared" si="25"/>
        <v>7</v>
      </c>
      <c r="H40" s="379">
        <f>ROUND(+(C40*E40*25)/50,0)</f>
        <v>5</v>
      </c>
      <c r="I40" s="379">
        <f>+ROUNDUP(C40*E40/3,0)</f>
        <v>4</v>
      </c>
      <c r="J40" s="379">
        <f t="shared" ref="J40" si="28">+ROUND(C40*E40*25*0.05,0)</f>
        <v>13</v>
      </c>
      <c r="K40" s="389">
        <f t="shared" ref="K40" si="29">+C40*E40*25</f>
        <v>250</v>
      </c>
      <c r="L40" s="379">
        <f>+C40*E40*4</f>
        <v>40</v>
      </c>
      <c r="M40" s="390"/>
      <c r="N40" s="382">
        <f t="shared" si="26"/>
        <v>0.26420079260237778</v>
      </c>
      <c r="O40" s="380"/>
      <c r="P40" s="380">
        <f t="shared" si="3"/>
        <v>1.5</v>
      </c>
      <c r="Q40" s="383">
        <f t="shared" si="4"/>
        <v>5</v>
      </c>
      <c r="R40" s="383">
        <f t="shared" si="5"/>
        <v>0.66050198150594452</v>
      </c>
      <c r="S40" s="383">
        <f t="shared" si="6"/>
        <v>0.625</v>
      </c>
      <c r="T40" s="384">
        <f t="shared" si="7"/>
        <v>7.5</v>
      </c>
    </row>
    <row r="41" spans="2:20" x14ac:dyDescent="0.3">
      <c r="B41" s="388"/>
      <c r="C41" s="383"/>
      <c r="D41" s="380"/>
      <c r="E41" s="391"/>
      <c r="F41" s="378"/>
      <c r="G41" s="379"/>
      <c r="H41" s="379"/>
      <c r="I41" s="379"/>
      <c r="J41" s="379"/>
      <c r="K41" s="379"/>
      <c r="L41" s="380"/>
      <c r="M41" s="381"/>
      <c r="N41" s="382"/>
      <c r="O41" s="380"/>
      <c r="P41" s="380"/>
      <c r="Q41" s="383"/>
      <c r="R41" s="383"/>
      <c r="S41" s="383"/>
      <c r="T41" s="384"/>
    </row>
    <row r="42" spans="2:20" x14ac:dyDescent="0.3">
      <c r="B42" s="392" t="s">
        <v>193</v>
      </c>
      <c r="C42" s="393">
        <f>+SUM(C9:C41)</f>
        <v>22</v>
      </c>
      <c r="D42" s="394"/>
      <c r="E42" s="394" t="s">
        <v>193</v>
      </c>
      <c r="F42" s="395">
        <f t="shared" ref="F42:T42" si="30">+SUM(F9:F41)</f>
        <v>174</v>
      </c>
      <c r="G42" s="395">
        <f t="shared" si="30"/>
        <v>134</v>
      </c>
      <c r="H42" s="395">
        <f t="shared" si="30"/>
        <v>10</v>
      </c>
      <c r="I42" s="395">
        <f t="shared" si="30"/>
        <v>77</v>
      </c>
      <c r="J42" s="395">
        <f t="shared" si="30"/>
        <v>238</v>
      </c>
      <c r="K42" s="395">
        <f t="shared" si="30"/>
        <v>500</v>
      </c>
      <c r="L42" s="395">
        <f t="shared" si="30"/>
        <v>120</v>
      </c>
      <c r="M42" s="395">
        <f t="shared" si="30"/>
        <v>80</v>
      </c>
      <c r="N42" s="395">
        <f t="shared" si="30"/>
        <v>5.1254953764861302</v>
      </c>
      <c r="O42" s="395">
        <f t="shared" si="30"/>
        <v>3.4478203434610308</v>
      </c>
      <c r="P42" s="395">
        <f t="shared" si="30"/>
        <v>29.1</v>
      </c>
      <c r="Q42" s="395">
        <f t="shared" si="30"/>
        <v>98</v>
      </c>
      <c r="R42" s="395">
        <f t="shared" si="30"/>
        <v>12.813738441215328</v>
      </c>
      <c r="S42" s="395">
        <f t="shared" si="30"/>
        <v>12.125</v>
      </c>
      <c r="T42" s="395">
        <f t="shared" si="30"/>
        <v>145.5</v>
      </c>
    </row>
    <row r="43" spans="2:20" x14ac:dyDescent="0.3">
      <c r="C43" s="375">
        <v>1</v>
      </c>
      <c r="D43" s="376"/>
      <c r="E43" s="377">
        <v>10</v>
      </c>
      <c r="F43" s="378"/>
      <c r="G43" s="379">
        <f>+ROUND((C43*E43*2)/3,0)</f>
        <v>7</v>
      </c>
      <c r="H43" s="379">
        <f>+(C43*E43*25)/50</f>
        <v>5</v>
      </c>
      <c r="I43" s="379">
        <f>+ROUNDUP(C43*E43/3,0)</f>
        <v>4</v>
      </c>
      <c r="J43" s="379"/>
      <c r="K43" s="389">
        <f>+C43*E43*25</f>
        <v>250</v>
      </c>
      <c r="L43" s="379">
        <f>+C43*E43*8</f>
        <v>80</v>
      </c>
      <c r="M43" s="390">
        <f>+C43*E43*8</f>
        <v>80</v>
      </c>
      <c r="N43" s="382">
        <f t="shared" ref="N43" si="31">+(C43*E43*4*25/1000)/3.785</f>
        <v>0.26420079260237778</v>
      </c>
      <c r="O43" s="380"/>
      <c r="P43" s="380">
        <f>+C43*E43*6*25/1000</f>
        <v>1.5</v>
      </c>
      <c r="Q43" s="383">
        <f t="shared" ref="Q43" si="32">+ROUNDUP(C43*E43/2,0)</f>
        <v>5</v>
      </c>
      <c r="R43" s="383">
        <f t="shared" ref="R43" si="33">+C43*E43*10*25/3785</f>
        <v>0.66050198150594452</v>
      </c>
      <c r="S43" s="383">
        <f t="shared" ref="S43" si="34">0.1*E43*C43*25/40</f>
        <v>0.625</v>
      </c>
      <c r="T43" s="384">
        <f t="shared" ref="T43" si="35">+C43*E43*25*0.03</f>
        <v>7.5</v>
      </c>
    </row>
    <row r="44" spans="2:20" ht="15" thickBot="1" x14ac:dyDescent="0.35">
      <c r="B44" s="396" t="s">
        <v>319</v>
      </c>
      <c r="D44" s="394"/>
      <c r="E44" s="394"/>
      <c r="N44" s="397">
        <f>+ROUNDUP(N42/12,2)</f>
        <v>0.43</v>
      </c>
      <c r="O44" s="398">
        <f>+ROUNDUP(O42/12,2)</f>
        <v>0.29000000000000004</v>
      </c>
      <c r="P44" s="398">
        <f>+ROUNDUP(P42/12/3.785,2)</f>
        <v>0.65</v>
      </c>
      <c r="Q44" s="398">
        <f>+ROUNDUP(Q42/12,2)</f>
        <v>8.17</v>
      </c>
      <c r="R44" s="398">
        <f>+ROUNDUP(R42/12,2)</f>
        <v>1.07</v>
      </c>
      <c r="S44" s="398">
        <f>+ROUNDUP(S42/12,2)</f>
        <v>1.02</v>
      </c>
      <c r="T44" s="399">
        <f>+ROUNDUP(T42/12,2)</f>
        <v>12.129999999999999</v>
      </c>
    </row>
    <row r="45" spans="2:20" x14ac:dyDescent="0.3">
      <c r="B45" s="396" t="s">
        <v>320</v>
      </c>
      <c r="F45" s="395">
        <f>+F42-F46</f>
        <v>174</v>
      </c>
      <c r="G45" s="395">
        <f>+G42-G46</f>
        <v>120</v>
      </c>
      <c r="H45" s="395">
        <f>+H42-H46</f>
        <v>0</v>
      </c>
      <c r="I45" s="395">
        <f>+I42-I46</f>
        <v>69</v>
      </c>
      <c r="J45" s="395">
        <f>+J42-J46</f>
        <v>225</v>
      </c>
      <c r="K45" s="395"/>
      <c r="L45" s="395">
        <f>+L42-L46</f>
        <v>0</v>
      </c>
      <c r="M45" s="395">
        <f>+M42-M46</f>
        <v>0</v>
      </c>
    </row>
    <row r="46" spans="2:20" x14ac:dyDescent="0.3">
      <c r="B46" s="396" t="s">
        <v>321</v>
      </c>
      <c r="F46" s="395">
        <f>+ROUNDUP(SUM(F36:F40),2)</f>
        <v>0</v>
      </c>
      <c r="G46" s="395">
        <f>+ROUNDUP(SUM(G36:G40),2)</f>
        <v>14</v>
      </c>
      <c r="H46" s="395">
        <f>+ROUNDUP(SUM(H36:H40),2)</f>
        <v>10</v>
      </c>
      <c r="I46" s="395">
        <f>+ROUNDUP(SUM(I36:I40),2)</f>
        <v>8</v>
      </c>
      <c r="J46" s="395">
        <f>+ROUNDUP(SUM(J36:J40),2)</f>
        <v>13</v>
      </c>
      <c r="K46" s="395">
        <f>+K42</f>
        <v>500</v>
      </c>
      <c r="L46" s="395">
        <f>+ROUNDUP(SUM(L36:L40),2)</f>
        <v>120</v>
      </c>
      <c r="M46" s="395">
        <f>+ROUNDUP(SUM(M36:M40),2)</f>
        <v>80</v>
      </c>
    </row>
    <row r="47" spans="2:20" x14ac:dyDescent="0.3">
      <c r="C47" s="400"/>
    </row>
    <row r="48" spans="2:20" x14ac:dyDescent="0.3">
      <c r="C48" s="400"/>
    </row>
    <row r="61" spans="6:6" x14ac:dyDescent="0.3">
      <c r="F61" s="359" t="s">
        <v>322</v>
      </c>
    </row>
  </sheetData>
  <mergeCells count="3">
    <mergeCell ref="B2:F2"/>
    <mergeCell ref="F7:M7"/>
    <mergeCell ref="N7:T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39</vt:i4>
      </vt:variant>
    </vt:vector>
  </HeadingPairs>
  <TitlesOfParts>
    <vt:vector size="52" baseType="lpstr">
      <vt:lpstr>PTO TARIFA HUACHIPA</vt:lpstr>
      <vt:lpstr>Ppto covid OBRA</vt:lpstr>
      <vt:lpstr>Ppto covid PRUEBAS</vt:lpstr>
      <vt:lpstr>Ppto covid RECEPCION</vt:lpstr>
      <vt:lpstr>Ppto covid LIQUIDACION</vt:lpstr>
      <vt:lpstr>Etapa LIQUIDACION</vt:lpstr>
      <vt:lpstr>Etapa RECEPCION</vt:lpstr>
      <vt:lpstr>Etapa obra PRUEBAS</vt:lpstr>
      <vt:lpstr>Etapa obra OBRA</vt:lpstr>
      <vt:lpstr>Hoja1</vt:lpstr>
      <vt:lpstr>CARTAS FIANZA</vt:lpstr>
      <vt:lpstr>5.EPPs-examMed (2)</vt:lpstr>
      <vt:lpstr>Hoja2</vt:lpstr>
      <vt:lpstr>'5.EPPs-examMed (2)'!Área_de_impresión</vt:lpstr>
      <vt:lpstr>'Ppto covid LIQUIDACION'!Área_de_impresión</vt:lpstr>
      <vt:lpstr>'Ppto covid OBRA'!Área_de_impresión</vt:lpstr>
      <vt:lpstr>'Ppto covid PRUEBAS'!Área_de_impresión</vt:lpstr>
      <vt:lpstr>'Ppto covid RECEPCION'!Área_de_impresión</vt:lpstr>
      <vt:lpstr>'PTO TARIFA HUACHIPA'!Área_de_impresión</vt:lpstr>
      <vt:lpstr>'Ppto covid LIQUIDACION'!JornalMed</vt:lpstr>
      <vt:lpstr>'Ppto covid OBRA'!JornalMed</vt:lpstr>
      <vt:lpstr>'Ppto covid PRUEBAS'!JornalMed</vt:lpstr>
      <vt:lpstr>'Ppto covid RECEPCION'!JornalMed</vt:lpstr>
      <vt:lpstr>'Ppto covid LIQUIDACION'!JornalSeg</vt:lpstr>
      <vt:lpstr>'Ppto covid OBRA'!JornalSeg</vt:lpstr>
      <vt:lpstr>'Ppto covid PRUEBAS'!JornalSeg</vt:lpstr>
      <vt:lpstr>'Ppto covid RECEPCION'!JornalSeg</vt:lpstr>
      <vt:lpstr>'Ppto covid LIQUIDACION'!NumCamp</vt:lpstr>
      <vt:lpstr>'Ppto covid OBRA'!NumCamp</vt:lpstr>
      <vt:lpstr>'Ppto covid PRUEBAS'!NumCamp</vt:lpstr>
      <vt:lpstr>'Ppto covid RECEPCION'!NumCamp</vt:lpstr>
      <vt:lpstr>'Ppto covid LIQUIDACION'!Numfrentes</vt:lpstr>
      <vt:lpstr>'Ppto covid OBRA'!Numfrentes</vt:lpstr>
      <vt:lpstr>'Ppto covid PRUEBAS'!Numfrentes</vt:lpstr>
      <vt:lpstr>'Ppto covid RECEPCION'!Numfrentes</vt:lpstr>
      <vt:lpstr>'Ppto covid LIQUIDACION'!NumTrab</vt:lpstr>
      <vt:lpstr>'Ppto covid OBRA'!NumTrab</vt:lpstr>
      <vt:lpstr>'Ppto covid PRUEBAS'!NumTrab</vt:lpstr>
      <vt:lpstr>'Ppto covid RECEPCION'!NumTrab</vt:lpstr>
      <vt:lpstr>'Ppto covid LIQUIDACION'!Numtrabtotal</vt:lpstr>
      <vt:lpstr>'Ppto covid OBRA'!Numtrabtotal</vt:lpstr>
      <vt:lpstr>'Ppto covid PRUEBAS'!Numtrabtotal</vt:lpstr>
      <vt:lpstr>'Ppto covid RECEPCION'!Numtrabtotal</vt:lpstr>
      <vt:lpstr>'Ppto covid LIQUIDACION'!PlazoDia</vt:lpstr>
      <vt:lpstr>'Ppto covid OBRA'!PlazoDia</vt:lpstr>
      <vt:lpstr>'Ppto covid PRUEBAS'!PlazoDia</vt:lpstr>
      <vt:lpstr>'Ppto covid RECEPCION'!PlazoDia</vt:lpstr>
      <vt:lpstr>'Ppto covid LIQUIDACION'!PlazoMes</vt:lpstr>
      <vt:lpstr>'Ppto covid OBRA'!PlazoMes</vt:lpstr>
      <vt:lpstr>'Ppto covid PRUEBAS'!PlazoMes</vt:lpstr>
      <vt:lpstr>'Ppto covid RECEPCION'!PlazoMes</vt:lpstr>
      <vt:lpstr>'PTO TARIFA HUACHIPA'!Títulos_a_imprimir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BARRIENTOS LISBONA LUIS</dc:creator>
  <cp:lastModifiedBy>sedapal</cp:lastModifiedBy>
  <cp:lastPrinted>2021-02-09T02:56:15Z</cp:lastPrinted>
  <dcterms:created xsi:type="dcterms:W3CDTF">1998-07-13T17:04:20Z</dcterms:created>
  <dcterms:modified xsi:type="dcterms:W3CDTF">2021-04-27T22:57:35Z</dcterms:modified>
</cp:coreProperties>
</file>